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4TXIJBoi+N680Jm+GXZgUiIIYGAUH2nZIiSUiKDjv671zArPSqynCTXRM4Kxq4hFqn+0+7TvDgcPhPwLFoqtqQ==" workbookSaltValue="kX1ttfugV2871pF3fQDh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S32" i="20"/>
  <c r="AQ32" i="21"/>
  <c r="AJ32" i="20"/>
  <c r="G23" i="14"/>
  <c r="Y32" i="20"/>
  <c r="AG32" i="20"/>
  <c r="T32" i="21"/>
  <c r="AF32" i="20"/>
  <c r="K32" i="20"/>
  <c r="O17" i="11"/>
  <c r="BF17" i="8" l="1"/>
  <c r="T31" i="8"/>
  <c r="K30" i="2"/>
  <c r="AL21" i="11"/>
  <c r="L17" i="14"/>
  <c r="F16" i="11"/>
  <c r="AQ16" i="11" s="1"/>
  <c r="R8" i="9"/>
  <c r="X12" i="21" s="1"/>
  <c r="P13" i="14"/>
  <c r="BE17" i="13"/>
  <c r="BF16" i="13"/>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X14" i="17"/>
  <c r="AM12" i="11"/>
  <c r="AO12" i="17"/>
  <c r="K9" i="12"/>
  <c r="AP14" i="21"/>
  <c r="AM9" i="11"/>
  <c r="AP30" i="21"/>
  <c r="AM25" i="11"/>
  <c r="BH26" i="16"/>
  <c r="AM17" i="11"/>
  <c r="AQ26" i="21"/>
  <c r="AO26" i="17"/>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F13" i="11"/>
  <c r="BG25" i="11"/>
  <c r="BH16"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I21" i="11"/>
  <c r="L22" i="2"/>
  <c r="X22" i="16"/>
  <c r="S16" i="17"/>
  <c r="S17" i="17"/>
  <c r="L12" i="2"/>
  <c r="X19" i="16"/>
  <c r="X10" i="21"/>
  <c r="L20" i="2"/>
  <c r="U9" i="17"/>
  <c r="U31" i="17" s="1"/>
  <c r="V10" i="16"/>
  <c r="V9" i="16"/>
  <c r="X13" i="16"/>
  <c r="BH9" i="16"/>
  <c r="Q18" i="20"/>
  <c r="Q23" i="20" s="1"/>
  <c r="BF28" i="11"/>
  <c r="BH20" i="16"/>
  <c r="AQ10" i="21"/>
  <c r="BJ17" i="11"/>
  <c r="BL17" i="11"/>
  <c r="BL23" i="11" s="1"/>
  <c r="BF18" i="11"/>
  <c r="BG22" i="1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10" i="2"/>
  <c r="X21" i="20"/>
  <c r="L16" i="2"/>
  <c r="L18" i="2"/>
  <c r="X16" i="16"/>
  <c r="X23" i="16" s="1"/>
  <c r="L9" i="2"/>
  <c r="V25" i="16"/>
  <c r="BG20" i="11"/>
  <c r="BK29" i="11"/>
  <c r="BK11" i="11"/>
  <c r="AP10" i="21"/>
  <c r="BH22" i="16"/>
  <c r="BJ20" i="11"/>
  <c r="BH13" i="11"/>
  <c r="BH18" i="11"/>
  <c r="BH23" i="11" s="1"/>
  <c r="AO28" i="17"/>
  <c r="AZ16" i="11"/>
  <c r="AZ23" i="11" s="1"/>
  <c r="AZ26" i="11" s="1"/>
  <c r="BW19" i="20"/>
  <c r="BU10" i="17"/>
  <c r="BU22" i="17"/>
  <c r="BU20" i="17"/>
  <c r="BW22" i="20"/>
  <c r="BW21" i="20"/>
  <c r="S28" i="17"/>
  <c r="T16" i="11"/>
  <c r="Q18" i="17"/>
  <c r="BH10" i="11"/>
  <c r="AO29" i="17"/>
  <c r="S10" i="17"/>
  <c r="BI29" i="11"/>
  <c r="BG17" i="11"/>
  <c r="P17" i="11" s="1"/>
  <c r="BM21" i="11"/>
  <c r="AO25" i="17"/>
  <c r="BH22" i="11"/>
  <c r="L28" i="2"/>
  <c r="L17" i="2"/>
  <c r="AA11" i="16"/>
  <c r="X12" i="17"/>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P12" i="11"/>
  <c r="S23" i="16"/>
  <c r="S31" i="16" s="1"/>
  <c r="AZ31" i="11"/>
  <c r="AZ14" i="11"/>
  <c r="R14" i="21"/>
  <c r="R31" i="2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<sst xmlns="http://schemas.openxmlformats.org/spreadsheetml/2006/main" count="2682" uniqueCount="1193">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</sst>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TlrhvfyslN6R9RqtSRDb8qIsh03Bs2gdnp7POpJ+/7gaDHWZKndMfzPJgj+dcEgArJP3tfimUBEeJMrWvdoTw==" saltValue="1KHfx+NYur2apC/yidEC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9</v>
      </c>
      <c r="F10" s="240">
        <f>IF(ISNUMBER(Datos!K10),Datos!K10," - ")</f>
        <v>13</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-4.3478260869565216E-2</v>
      </c>
      <c r="L10" s="1402">
        <f>IF(ISNUMBER(NºAsuntos!I10/NºAsuntos!G10),(NºAsuntos!I10/NºAsuntos!G10)*11," - ")</f>
        <v>74.461538461538467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63.443587270973964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9</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3265</v>
      </c>
      <c r="D17" s="239">
        <f>IF(ISNUMBER(IF(D_I="SI",Datos!I17,Datos!I17+Datos!AC17)),IF(D_I="SI",Datos!I17,Datos!I17+Datos!AC17)," - ")</f>
        <v>3332</v>
      </c>
      <c r="E17" s="240">
        <f>IF(ISNUMBER(IF(D_I="SI",Datos!J17,Datos!J17+Datos!AD17)),IF(D_I="SI",Datos!J17,Datos!J17+Datos!AD17)," - ")</f>
        <v>1872</v>
      </c>
      <c r="F17" s="240">
        <f>IF(ISNUMBER(IF(D_I="SI",Datos!K17,Datos!K17+Datos!AE17)),IF(D_I="SI",Datos!K17,Datos!K17+Datos!AE17)," - ")</f>
        <v>1758</v>
      </c>
      <c r="G17" s="1390" t="str">
        <f>IF(Datos!E17&lt;&gt;"",Datos!E17,Datos!D17)</f>
        <v>04</v>
      </c>
      <c r="H17" s="241">
        <f>IF(ISNUMBER(IF(D_I="SI",Datos!L17,Datos!L17+Datos!AF17)),IF(D_I="SI",Datos!L17,Datos!L17+Datos!AF17)," - ")</f>
        <v>3379</v>
      </c>
      <c r="I17" s="1400" t="str">
        <f>IF(ISNUMBER(Datos!AS17/Datos!BM17),Datos!AS17/Datos!BM17," - ")</f>
        <v xml:space="preserve"> - </v>
      </c>
      <c r="J17" s="1401">
        <f>IF(ISNUMBER(Datos!BY17/Datos!CN17),Datos!BY17/Datos!CN17," - ")</f>
        <v>0</v>
      </c>
      <c r="K17" s="244">
        <f t="shared" si="3"/>
        <v>3.4915773353751914E-2</v>
      </c>
      <c r="L17" s="1402">
        <f>IF(ISNUMBER(NºAsuntos!I17/NºAsuntos!G17),(NºAsuntos!I17/NºAsuntos!G17)*11," - ")</f>
        <v>21.142775881683729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501</v>
      </c>
      <c r="D18" s="239">
        <f>IF(ISNUMBER(IF(D_I="SI",Datos!I18,Datos!I18+Datos!AC18)),IF(D_I="SI",Datos!I18,Datos!I18+Datos!AC18)," - ")</f>
        <v>501</v>
      </c>
      <c r="E18" s="240">
        <f>IF(ISNUMBER(IF(D_I="SI",Datos!J18,Datos!J18+Datos!AD18)),IF(D_I="SI",Datos!J18,Datos!J18+Datos!AD18)," - ")</f>
        <v>180</v>
      </c>
      <c r="F18" s="240">
        <f>IF(ISNUMBER(IF(D_I="SI",Datos!K18,Datos!K18+Datos!AE18)),IF(D_I="SI",Datos!K18,Datos!K18+Datos!AE18)," - ")</f>
        <v>163</v>
      </c>
      <c r="G18" s="1390" t="str">
        <f>IF(Datos!E18&lt;&gt;"",Datos!E18,Datos!D18)</f>
        <v>37</v>
      </c>
      <c r="H18" s="241">
        <f>IF(ISNUMBER(IF(D_I="SI",Datos!L18,Datos!L18+Datos!AF18)),IF(D_I="SI",Datos!L18,Datos!L18+Datos!AF18)," - ")</f>
        <v>518</v>
      </c>
      <c r="I18" s="1400" t="str">
        <f>IF(ISNUMBER(Datos!AS18/Datos!BM18),Datos!AS18/Datos!BM18," - ")</f>
        <v xml:space="preserve"> - </v>
      </c>
      <c r="J18" s="1401" t="str">
        <f>IF(ISNUMBER((Datos!BY18+Datos!BZ18)/Datos!CN18),(Datos!BY18+Datos!BZ18)/Datos!CN18," - ")</f>
        <v xml:space="preserve"> - </v>
      </c>
      <c r="K18" s="244">
        <f t="shared" si="3"/>
        <v>3.3932135728542916E-2</v>
      </c>
      <c r="L18" s="1402">
        <f>IF(ISNUMBER(NºAsuntos!I18/NºAsuntos!G18),(NºAsuntos!I18/NºAsuntos!G18)*11," - ")</f>
        <v>34.957055214723923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3766</v>
      </c>
      <c r="D23" s="1407">
        <f>SUBTOTAL(9,D16:D22)</f>
        <v>3833</v>
      </c>
      <c r="E23" s="1408">
        <f>SUBTOTAL(9,E16:E22)</f>
        <v>2052</v>
      </c>
      <c r="F23" s="1408">
        <f>SUBTOTAL(9,F16:F22)</f>
        <v>1921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3858</v>
      </c>
      <c r="D31" s="1435">
        <f>SUBTOTAL(9,D9:D30)</f>
        <v>3925</v>
      </c>
      <c r="E31" s="1436">
        <f>SUBTOTAL(9,E9:E30)</f>
        <v>2061</v>
      </c>
      <c r="F31" s="1436">
        <f>SUBTOTAL(9,F9:F30)</f>
        <v>1934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reNU2KwWO7hBi3VNX3nV6u4yQTXJ/1VwyoJV8K+n8f5NCAkVXNWtmbtuRqK/cVE/OwurjGNGmk+zXblY5sBHg==" saltValue="i2nShQ5vVAZjPM4yh2GU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Yeib1alxJMqnZe8SoAB/yEPACih03pTWL9y5rFXOG8ke1om2VLWMhE1Z+FmKLEJ+OSXFaVqeMQIGAUHfFXzjg==" saltValue="ehx6oCtkzqMiSb/i7V0v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92</v>
      </c>
      <c r="J10" s="194">
        <v>9</v>
      </c>
      <c r="K10" s="194">
        <v>13</v>
      </c>
      <c r="L10" s="194">
        <v>88</v>
      </c>
      <c r="M10" s="194">
        <v>4</v>
      </c>
      <c r="N10" s="194">
        <v>6</v>
      </c>
      <c r="O10" s="194">
        <v>4</v>
      </c>
      <c r="P10" s="194">
        <v>0</v>
      </c>
      <c r="Q10" s="194">
        <v>1</v>
      </c>
      <c r="R10" s="194">
        <v>61</v>
      </c>
      <c r="S10" s="194">
        <v>99</v>
      </c>
      <c r="T10" s="194">
        <v>15</v>
      </c>
      <c r="U10" s="194">
        <v>34</v>
      </c>
      <c r="V10" s="194">
        <v>80</v>
      </c>
      <c r="W10" s="194">
        <v>22</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99</v>
      </c>
      <c r="AZ10" s="139">
        <f t="shared" si="0"/>
        <v>15</v>
      </c>
      <c r="BA10" s="139">
        <f t="shared" si="0"/>
        <v>34</v>
      </c>
      <c r="BB10" s="139">
        <f t="shared" si="0"/>
        <v>80</v>
      </c>
      <c r="BC10" s="135">
        <f t="shared" si="0"/>
        <v>22</v>
      </c>
      <c r="BD10" s="136">
        <f>IF(ISNUMBER(BA10/AZ10),BA10/AZ10," - ")</f>
        <v>2.2666666666666666</v>
      </c>
      <c r="BE10" s="137">
        <f>IF(ISNUMBER(BB10/BA10),BB10/BA10, " - ")</f>
        <v>2.3529411764705883</v>
      </c>
      <c r="BF10" s="137">
        <f>IF(ISNUMBER(BC10/BA10),BC10/BA10, " - ")</f>
        <v>0.6470588235294118</v>
      </c>
      <c r="BG10" s="209">
        <f>IF(ISNUMBER((AY10+AZ10)/BA10),(AY10+AZ10)/BA10," - ")</f>
        <v>3.3529411764705883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5645</v>
      </c>
      <c r="J12" s="196">
        <v>961</v>
      </c>
      <c r="K12" s="196">
        <v>979</v>
      </c>
      <c r="L12" s="196">
        <v>5796</v>
      </c>
      <c r="M12" s="196">
        <v>179</v>
      </c>
      <c r="N12" s="196">
        <v>292</v>
      </c>
      <c r="O12" s="194">
        <v>567</v>
      </c>
      <c r="P12" s="196">
        <v>236</v>
      </c>
      <c r="Q12" s="196">
        <v>109</v>
      </c>
      <c r="R12" s="196">
        <v>6439</v>
      </c>
      <c r="S12" s="196">
        <v>5207</v>
      </c>
      <c r="T12" s="196">
        <v>1006</v>
      </c>
      <c r="U12" s="196">
        <v>1033</v>
      </c>
      <c r="V12" s="196">
        <v>5180</v>
      </c>
      <c r="W12" s="196">
        <v>156</v>
      </c>
      <c r="X12" s="202">
        <v>403</v>
      </c>
      <c r="Y12" s="204">
        <v>208</v>
      </c>
      <c r="Z12" s="194">
        <v>32</v>
      </c>
      <c r="AA12" s="194">
        <v>58</v>
      </c>
      <c r="AB12" s="194">
        <v>185</v>
      </c>
      <c r="AC12" s="196">
        <v>0</v>
      </c>
      <c r="AD12" s="196">
        <v>0</v>
      </c>
      <c r="AE12" s="196">
        <v>0</v>
      </c>
      <c r="AF12" s="202">
        <v>0</v>
      </c>
      <c r="AG12" s="215">
        <v>132</v>
      </c>
      <c r="AH12" s="196">
        <v>72</v>
      </c>
      <c r="AI12" s="196">
        <v>40</v>
      </c>
      <c r="AJ12" s="216">
        <v>164</v>
      </c>
      <c r="AK12" s="195">
        <v>0</v>
      </c>
      <c r="AL12" s="196">
        <v>0</v>
      </c>
      <c r="AM12" s="196">
        <v>0</v>
      </c>
      <c r="AN12" s="202">
        <v>0</v>
      </c>
      <c r="AO12" s="283">
        <v>5</v>
      </c>
      <c r="AP12" s="168">
        <v>5</v>
      </c>
      <c r="AQ12" s="168">
        <v>5</v>
      </c>
      <c r="AR12" s="167">
        <v>5</v>
      </c>
      <c r="AS12" s="381" t="s">
        <v>1075</v>
      </c>
      <c r="AT12" s="216"/>
      <c r="AU12" s="215"/>
      <c r="AV12" s="216"/>
      <c r="AW12" s="215"/>
      <c r="AX12" s="216"/>
      <c r="AY12" s="136">
        <f t="shared" si="1"/>
        <v>5339</v>
      </c>
      <c r="AZ12" s="137">
        <f t="shared" si="1"/>
        <v>1078</v>
      </c>
      <c r="BA12" s="137">
        <f t="shared" si="1"/>
        <v>1073</v>
      </c>
      <c r="BB12" s="137">
        <f t="shared" si="1"/>
        <v>5344</v>
      </c>
      <c r="BC12" s="135">
        <f>IF(ISNUMBER(X12),X12," - ")</f>
        <v>403</v>
      </c>
      <c r="BD12" s="136">
        <f t="shared" si="2"/>
        <v>0.99536178107606677</v>
      </c>
      <c r="BE12" s="137">
        <f t="shared" si="3"/>
        <v>4.980428704566636</v>
      </c>
      <c r="BF12" s="137">
        <f t="shared" si="4"/>
        <v>0.37558247903075487</v>
      </c>
      <c r="BG12" s="209">
        <f t="shared" si="5"/>
        <v>5.980428704566636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5737</v>
      </c>
      <c r="J14" s="197">
        <f t="shared" si="7"/>
        <v>970</v>
      </c>
      <c r="K14" s="197">
        <f t="shared" si="7"/>
        <v>992</v>
      </c>
      <c r="L14" s="197">
        <f t="shared" si="7"/>
        <v>5884</v>
      </c>
      <c r="M14" s="197">
        <f t="shared" si="7"/>
        <v>183</v>
      </c>
      <c r="N14" s="197">
        <f t="shared" si="7"/>
        <v>298</v>
      </c>
      <c r="O14" s="197">
        <f t="shared" si="7"/>
        <v>571</v>
      </c>
      <c r="P14" s="197">
        <f t="shared" si="7"/>
        <v>236</v>
      </c>
      <c r="Q14" s="197">
        <f t="shared" si="7"/>
        <v>110</v>
      </c>
      <c r="R14" s="197">
        <f t="shared" si="7"/>
        <v>6500</v>
      </c>
      <c r="S14" s="197">
        <f t="shared" si="7"/>
        <v>5306</v>
      </c>
      <c r="T14" s="197">
        <f t="shared" si="7"/>
        <v>1021</v>
      </c>
      <c r="U14" s="197">
        <f t="shared" si="7"/>
        <v>1067</v>
      </c>
      <c r="V14" s="197">
        <f t="shared" si="7"/>
        <v>5260</v>
      </c>
      <c r="W14" s="197">
        <f t="shared" si="7"/>
        <v>178</v>
      </c>
      <c r="X14" s="197">
        <f t="shared" si="7"/>
        <v>411</v>
      </c>
      <c r="Y14" s="197">
        <f t="shared" si="7"/>
        <v>208</v>
      </c>
      <c r="Z14" s="197">
        <f t="shared" si="7"/>
        <v>32</v>
      </c>
      <c r="AA14" s="197">
        <f t="shared" si="7"/>
        <v>58</v>
      </c>
      <c r="AB14" s="197">
        <f t="shared" si="7"/>
        <v>185</v>
      </c>
      <c r="AC14" s="197">
        <f t="shared" si="7"/>
        <v>0</v>
      </c>
      <c r="AD14" s="197">
        <f t="shared" si="7"/>
        <v>0</v>
      </c>
      <c r="AE14" s="197">
        <f t="shared" si="7"/>
        <v>0</v>
      </c>
      <c r="AF14" s="197">
        <f>SUBTOTAL(9,AF9:AF13)</f>
        <v>0</v>
      </c>
      <c r="AG14" s="197">
        <f t="shared" ref="AG14:AT14" si="8">SUBTOTAL(9,AG8:AG13)</f>
        <v>132</v>
      </c>
      <c r="AH14" s="197">
        <f t="shared" si="8"/>
        <v>72</v>
      </c>
      <c r="AI14" s="197">
        <f t="shared" si="8"/>
        <v>40</v>
      </c>
      <c r="AJ14" s="197">
        <f t="shared" si="8"/>
        <v>164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5438</v>
      </c>
      <c r="AZ14" s="197">
        <f>SUBTOTAL(9,AZ8:AZ13)</f>
        <v>1093</v>
      </c>
      <c r="BA14" s="197">
        <f>SUBTOTAL(9,BA8:BA13)</f>
        <v>1107</v>
      </c>
      <c r="BB14" s="197">
        <f>SUBTOTAL(9,BB8:BB13)</f>
        <v>5424</v>
      </c>
      <c r="BC14" s="197">
        <f>SUBTOTAL(9,BC8:BC13)</f>
        <v>425</v>
      </c>
      <c r="BD14" s="219">
        <f>IF(ISNUMBER(BA14/AZ14),BA14/AZ14," - ")</f>
        <v>1.0128087831655992</v>
      </c>
      <c r="BE14" s="220">
        <f>IF(ISNUMBER(BB14/BA14),BB14/BA14, " - ")</f>
        <v>4.8997289972899729</v>
      </c>
      <c r="BF14" s="220">
        <f>IF(ISNUMBER(BC14/BA14),BC14/BA14, " - ")</f>
        <v>0.38392050587172538</v>
      </c>
      <c r="BG14" s="221">
        <f>IF(ISNUMBER((AY14+AZ14)/BA14),(AY14+AZ14)/BA14," - ")</f>
        <v>5.8997289972899729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3332</v>
      </c>
      <c r="J17" s="196">
        <v>1872</v>
      </c>
      <c r="K17" s="196">
        <v>1758</v>
      </c>
      <c r="L17" s="196">
        <v>3379</v>
      </c>
      <c r="M17" s="196">
        <v>247</v>
      </c>
      <c r="N17" s="196">
        <v>1266</v>
      </c>
      <c r="O17" s="194">
        <v>4</v>
      </c>
      <c r="P17" s="196">
        <v>34</v>
      </c>
      <c r="Q17" s="196">
        <v>44</v>
      </c>
      <c r="R17" s="196">
        <v>188</v>
      </c>
      <c r="S17" s="196">
        <v>2507</v>
      </c>
      <c r="T17" s="196">
        <v>1489</v>
      </c>
      <c r="U17" s="196">
        <v>1668</v>
      </c>
      <c r="V17" s="196">
        <v>2535</v>
      </c>
      <c r="W17" s="196">
        <v>274</v>
      </c>
      <c r="X17" s="202">
        <v>1085</v>
      </c>
      <c r="Y17" s="215">
        <v>0</v>
      </c>
      <c r="Z17" s="196">
        <v>0</v>
      </c>
      <c r="AA17" s="196">
        <v>0</v>
      </c>
      <c r="AB17" s="196">
        <v>0</v>
      </c>
      <c r="AC17" s="196">
        <v>0</v>
      </c>
      <c r="AD17" s="196">
        <v>34</v>
      </c>
      <c r="AE17" s="196">
        <v>34</v>
      </c>
      <c r="AF17" s="202">
        <v>0</v>
      </c>
      <c r="AG17" s="215">
        <v>0</v>
      </c>
      <c r="AH17" s="196">
        <v>0</v>
      </c>
      <c r="AI17" s="196">
        <v>0</v>
      </c>
      <c r="AJ17" s="216">
        <v>0</v>
      </c>
      <c r="AK17" s="195">
        <v>1</v>
      </c>
      <c r="AL17" s="196">
        <v>24</v>
      </c>
      <c r="AM17" s="196">
        <v>24</v>
      </c>
      <c r="AN17" s="202">
        <v>1</v>
      </c>
      <c r="AO17" s="283">
        <v>5</v>
      </c>
      <c r="AP17" s="168">
        <v>5</v>
      </c>
      <c r="AQ17" s="168">
        <v>5</v>
      </c>
      <c r="AR17" s="168">
        <v>5</v>
      </c>
      <c r="AS17" s="381" t="s">
        <v>650</v>
      </c>
      <c r="AT17" s="216"/>
      <c r="AU17" s="215"/>
      <c r="AV17" s="216"/>
      <c r="AW17" s="215"/>
      <c r="AX17" s="216"/>
      <c r="AY17" s="136">
        <f t="shared" si="10"/>
        <v>2507</v>
      </c>
      <c r="AZ17" s="137">
        <f t="shared" si="10"/>
        <v>1489</v>
      </c>
      <c r="BA17" s="137">
        <f t="shared" si="10"/>
        <v>1668</v>
      </c>
      <c r="BB17" s="137">
        <f t="shared" si="10"/>
        <v>2535</v>
      </c>
      <c r="BC17" s="135">
        <f>IF(ISNUMBER(W17),W17," - ")</f>
        <v>274</v>
      </c>
      <c r="BD17" s="136">
        <f t="shared" ref="BD17:BD22" si="12">IF(ISNUMBER(BA17/AZ17),BA17/AZ17," - ")</f>
        <v>1.1202149093351244</v>
      </c>
      <c r="BE17" s="137">
        <f t="shared" ref="BE17:BE22" si="13">IF(ISNUMBER(BB17/BA17),BB17/BA17, " - ")</f>
        <v>1.5197841726618706</v>
      </c>
      <c r="BF17" s="137">
        <f t="shared" ref="BF17:BF22" si="14">IF(ISNUMBER(BC17/BA17),BC17/BA17, " - ")</f>
        <v>0.16426858513189449</v>
      </c>
      <c r="BG17" s="209">
        <f t="shared" si="11"/>
        <v>2.3956834532374103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501</v>
      </c>
      <c r="J18" s="196">
        <v>180</v>
      </c>
      <c r="K18" s="196">
        <v>163</v>
      </c>
      <c r="L18" s="196">
        <v>518</v>
      </c>
      <c r="M18" s="196">
        <v>22</v>
      </c>
      <c r="N18" s="196">
        <v>112</v>
      </c>
      <c r="O18" s="196">
        <v>1</v>
      </c>
      <c r="P18" s="196">
        <v>1</v>
      </c>
      <c r="Q18" s="196">
        <v>1</v>
      </c>
      <c r="R18" s="196">
        <v>3</v>
      </c>
      <c r="S18" s="196">
        <v>421</v>
      </c>
      <c r="T18" s="196">
        <v>183</v>
      </c>
      <c r="U18" s="196">
        <v>194</v>
      </c>
      <c r="V18" s="196">
        <v>412</v>
      </c>
      <c r="W18" s="196">
        <v>28</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421</v>
      </c>
      <c r="AZ18" s="139">
        <f t="shared" si="15"/>
        <v>183</v>
      </c>
      <c r="BA18" s="139">
        <f t="shared" si="15"/>
        <v>194</v>
      </c>
      <c r="BB18" s="139">
        <f t="shared" si="15"/>
        <v>412</v>
      </c>
      <c r="BC18" s="135">
        <f>IF(ISNUMBER(W18),W18," - ")</f>
        <v>28</v>
      </c>
      <c r="BD18" s="136">
        <f>IF(ISNUMBER(BA18/AZ18),BA18/AZ18," - ")</f>
        <v>1.0601092896174864</v>
      </c>
      <c r="BE18" s="137">
        <f>IF(ISNUMBER(BB18/BA18),BB18/BA18, " - ")</f>
        <v>2.1237113402061856</v>
      </c>
      <c r="BF18" s="137">
        <f>IF(ISNUMBER(BC18/BA18),BC18/BA18, " - ")</f>
        <v>0.14432989690721648</v>
      </c>
      <c r="BG18" s="209">
        <f>IF(ISNUMBER((AY18+AZ18)/BA18),(AY18+AZ18)/BA18," - ")</f>
        <v>3.1134020618556701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3833</v>
      </c>
      <c r="J23" s="197">
        <f t="shared" si="21"/>
        <v>2052</v>
      </c>
      <c r="K23" s="197">
        <f t="shared" si="21"/>
        <v>1921</v>
      </c>
      <c r="L23" s="197">
        <f t="shared" si="21"/>
        <v>3897</v>
      </c>
      <c r="M23" s="197">
        <f t="shared" si="21"/>
        <v>269</v>
      </c>
      <c r="N23" s="197">
        <f t="shared" si="21"/>
        <v>1378</v>
      </c>
      <c r="O23" s="197">
        <f t="shared" si="21"/>
        <v>5</v>
      </c>
      <c r="P23" s="197">
        <f t="shared" si="21"/>
        <v>35</v>
      </c>
      <c r="Q23" s="197">
        <f t="shared" si="21"/>
        <v>45</v>
      </c>
      <c r="R23" s="197">
        <f t="shared" si="21"/>
        <v>191</v>
      </c>
      <c r="S23" s="197">
        <f t="shared" si="21"/>
        <v>2928</v>
      </c>
      <c r="T23" s="197">
        <f t="shared" si="21"/>
        <v>1672</v>
      </c>
      <c r="U23" s="197">
        <f t="shared" si="21"/>
        <v>1862</v>
      </c>
      <c r="V23" s="197">
        <f t="shared" si="21"/>
        <v>2947</v>
      </c>
      <c r="W23" s="197">
        <f t="shared" si="21"/>
        <v>302</v>
      </c>
      <c r="X23" s="197">
        <f t="shared" si="21"/>
        <v>1210</v>
      </c>
      <c r="Y23" s="197">
        <f t="shared" si="21"/>
        <v>0</v>
      </c>
      <c r="Z23" s="197">
        <f t="shared" si="21"/>
        <v>0</v>
      </c>
      <c r="AA23" s="197">
        <f t="shared" si="21"/>
        <v>0</v>
      </c>
      <c r="AB23" s="197">
        <f t="shared" si="21"/>
        <v>0</v>
      </c>
      <c r="AC23" s="197">
        <f t="shared" si="21"/>
        <v>0</v>
      </c>
      <c r="AD23" s="197">
        <f t="shared" si="21"/>
        <v>34</v>
      </c>
      <c r="AE23" s="197">
        <f t="shared" si="21"/>
        <v>34</v>
      </c>
      <c r="AF23" s="197">
        <f t="shared" si="21"/>
        <v>0</v>
      </c>
      <c r="AG23" s="197">
        <f t="shared" si="21"/>
        <v>0</v>
      </c>
      <c r="AH23" s="197">
        <f t="shared" si="21"/>
        <v>0</v>
      </c>
      <c r="AI23" s="197">
        <f t="shared" si="21"/>
        <v>0</v>
      </c>
      <c r="AJ23" s="197">
        <f t="shared" si="21"/>
        <v>0</v>
      </c>
      <c r="AK23" s="197">
        <f t="shared" si="21"/>
        <v>1</v>
      </c>
      <c r="AL23" s="197">
        <f t="shared" si="21"/>
        <v>24</v>
      </c>
      <c r="AM23" s="197">
        <f t="shared" si="21"/>
        <v>24</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2928</v>
      </c>
      <c r="AZ23" s="197">
        <f>SUBTOTAL(9,AZ15:AZ22)</f>
        <v>1672</v>
      </c>
      <c r="BA23" s="197">
        <f>SUBTOTAL(9,BA15:BA22)</f>
        <v>1862</v>
      </c>
      <c r="BB23" s="197">
        <f>SUBTOTAL(9,BB15:BB22)</f>
        <v>2947</v>
      </c>
      <c r="BC23" s="197">
        <f>SUBTOTAL(9,BC15:BC22)</f>
        <v>302</v>
      </c>
      <c r="BD23" s="219">
        <f>IF(ISNUMBER(BA23/AZ23),BA23/AZ23," - ")</f>
        <v>1.1136363636363635</v>
      </c>
      <c r="BE23" s="220">
        <f>IF(ISNUMBER(BB23/BA23),BB23/BA23, " - ")</f>
        <v>1.5827067669172932</v>
      </c>
      <c r="BF23" s="220">
        <f>IF(ISNUMBER(BC23/BA23),BC23/BA23, " - ")</f>
        <v>0.16219119226638024</v>
      </c>
      <c r="BG23" s="221">
        <f>IF(ISNUMBER((AY23+AZ23)/BA23),(AY23+AZ23)/BA23," - ")</f>
        <v>2.4704618689581097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9570</v>
      </c>
      <c r="J31" s="144">
        <f t="shared" si="36"/>
        <v>3022</v>
      </c>
      <c r="K31" s="144">
        <f t="shared" si="36"/>
        <v>2913</v>
      </c>
      <c r="L31" s="144">
        <f t="shared" si="36"/>
        <v>9781</v>
      </c>
      <c r="M31" s="144">
        <f t="shared" si="36"/>
        <v>452</v>
      </c>
      <c r="N31" s="144">
        <f t="shared" si="36"/>
        <v>1676</v>
      </c>
      <c r="O31" s="144">
        <f t="shared" si="36"/>
        <v>576</v>
      </c>
      <c r="P31" s="144">
        <f t="shared" si="36"/>
        <v>271</v>
      </c>
      <c r="Q31" s="144">
        <f t="shared" si="36"/>
        <v>155</v>
      </c>
      <c r="R31" s="144">
        <f t="shared" si="36"/>
        <v>6691</v>
      </c>
      <c r="S31" s="144">
        <f t="shared" si="36"/>
        <v>8234</v>
      </c>
      <c r="T31" s="144">
        <f t="shared" si="36"/>
        <v>2693</v>
      </c>
      <c r="U31" s="144">
        <f t="shared" si="36"/>
        <v>2929</v>
      </c>
      <c r="V31" s="144">
        <f t="shared" si="36"/>
        <v>8207</v>
      </c>
      <c r="W31" s="144">
        <f t="shared" si="36"/>
        <v>480</v>
      </c>
      <c r="X31" s="144">
        <f t="shared" si="36"/>
        <v>1621</v>
      </c>
      <c r="Y31" s="144">
        <f t="shared" si="36"/>
        <v>208</v>
      </c>
      <c r="Z31" s="144">
        <f t="shared" si="36"/>
        <v>32</v>
      </c>
      <c r="AA31" s="144">
        <f t="shared" si="36"/>
        <v>58</v>
      </c>
      <c r="AB31" s="144">
        <f t="shared" si="36"/>
        <v>185</v>
      </c>
      <c r="AC31" s="144">
        <f t="shared" si="36"/>
        <v>0</v>
      </c>
      <c r="AD31" s="144">
        <f t="shared" si="36"/>
        <v>34</v>
      </c>
      <c r="AE31" s="144">
        <f t="shared" si="36"/>
        <v>34</v>
      </c>
      <c r="AF31" s="144">
        <f t="shared" si="36"/>
        <v>0</v>
      </c>
      <c r="AG31" s="144">
        <f t="shared" si="36"/>
        <v>132</v>
      </c>
      <c r="AH31" s="144">
        <f t="shared" si="36"/>
        <v>72</v>
      </c>
      <c r="AI31" s="144">
        <f t="shared" si="36"/>
        <v>40</v>
      </c>
      <c r="AJ31" s="144">
        <f t="shared" si="36"/>
        <v>164</v>
      </c>
      <c r="AK31" s="144">
        <f t="shared" si="36"/>
        <v>1</v>
      </c>
      <c r="AL31" s="144">
        <f t="shared" si="36"/>
        <v>24</v>
      </c>
      <c r="AM31" s="144">
        <f t="shared" si="36"/>
        <v>24</v>
      </c>
      <c r="AN31" s="224">
        <f t="shared" si="36"/>
        <v>1</v>
      </c>
      <c r="AO31" s="225">
        <v>6</v>
      </c>
      <c r="AP31" s="225">
        <v>5</v>
      </c>
      <c r="AQ31" s="225">
        <v>5</v>
      </c>
      <c r="AR31" s="225">
        <v>5</v>
      </c>
      <c r="AS31" s="166">
        <f t="shared" si="36"/>
        <v>0</v>
      </c>
      <c r="AT31" s="166">
        <f t="shared" si="36"/>
        <v>0</v>
      </c>
      <c r="AU31" s="225"/>
      <c r="AV31" s="226"/>
      <c r="AW31" s="225"/>
      <c r="AX31" s="226"/>
      <c r="AY31" s="143">
        <f>SUBTOTAL(9,AY9:AY30)</f>
        <v>8366</v>
      </c>
      <c r="AZ31" s="144">
        <f>SUBTOTAL(9,AZ9:AZ30)</f>
        <v>2765</v>
      </c>
      <c r="BA31" s="144">
        <f>SUBTOTAL(9,BA9:BA30)</f>
        <v>2969</v>
      </c>
      <c r="BB31" s="144">
        <f>SUBTOTAL(9,BB9:BB30)</f>
        <v>8371</v>
      </c>
      <c r="BC31" s="145">
        <f>SUBTOTAL(9,BC9:BC30)</f>
        <v>727</v>
      </c>
      <c r="BD31" s="227">
        <f>IF(ISNUMBER(BA31/AZ31),BA31/AZ31," - ")</f>
        <v>1.0737793851717903</v>
      </c>
      <c r="BE31" s="224">
        <f>IF(ISNUMBER(BB31/BA31),BB31/BA31, " - ")</f>
        <v>2.8194678342876389</v>
      </c>
      <c r="BF31" s="224">
        <f>IF(ISNUMBER(BC31/BA31),BC31/BA31, " - ")</f>
        <v>0.24486359043448971</v>
      </c>
      <c r="BG31" s="145">
        <f>IF(ISNUMBER((AY31+AZ31)/BA31),(AY31+AZ31)/BA31," - ")</f>
        <v>3.7490737622094983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u8khMvYDk766+/XQRrzwWIvB8WyskEjIMs0yRC95oV6XQXxWVvU57rrtEfR+KIHDHimeS3atE/+J7ILTaKww==" saltValue="3j0LSb3YbKVmp7IjJeGM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1xdV1FuLVvEA1AYqiZ2TX+KWBjZu0dKi95ZrTD0XmtUBCaQyFLzLvZ9+7/kWoo2G3ej4CV4INpjBqxsmGGYtQ==" saltValue="Vh4GKJxr/6bre48srVm8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AYAMONTE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v>
      </c>
      <c r="AD10" s="549"/>
      <c r="AE10" s="563"/>
      <c r="AF10" s="551">
        <f>IF(ISNUMBER(Datos!L10),Datos!L10,"-")</f>
        <v>88</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6</v>
      </c>
      <c r="BE10" s="693" t="str">
        <f>IF(ISNUMBER(Datos!BW10),Datos!BW10," - ")</f>
        <v xml:space="preserve"> - </v>
      </c>
      <c r="BF10" s="762" t="str">
        <f>IF(ISNUMBER(Datos!BX10),Datos!BX10," - ")</f>
        <v xml:space="preserve"> - </v>
      </c>
      <c r="BG10" s="763">
        <f>IF(ISNUMBER(Datos!K10/Datos!J10),Datos!K10/Datos!J10," - ")</f>
        <v>1.4444444444444444</v>
      </c>
      <c r="BH10" s="764">
        <f>IF(ISNUMBER(((Datos!L10/Datos!K10)*11)/factor_trimestre),((Datos!L10/Datos!K10)*11)/factor_trimestre," - ")</f>
        <v>20.30769230769231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-1.6129032258064516E-2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236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185</v>
      </c>
      <c r="AI12" s="549" t="str">
        <f>IF(ISNUMBER(Datos!CD12),Datos!CD12,"-")</f>
        <v>-</v>
      </c>
      <c r="AJ12" s="549" t="str">
        <f>IF(ISNUMBER(Datos!EN12),Datos!EN12," - ")</f>
        <v xml:space="preserve"> - </v>
      </c>
      <c r="AK12" s="549"/>
      <c r="AL12" s="550"/>
      <c r="AM12" s="766">
        <f>IF(ISNUMBER(Datos!R12),Datos!R12," - ")</f>
        <v>6439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179</v>
      </c>
      <c r="BD12" s="693">
        <f>IF(ISNUMBER(Datos!N12),Datos!N12," - ")</f>
        <v>292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1.0443101711983886</v>
      </c>
      <c r="BH12" s="764">
        <f>IF(ISNUMBER(((IF(J_V="SI",Datos!L12/Datos!K12,(Datos!L12+Datos!AB12)/(Datos!K12+Datos!AA12)))*11)/factor_trimestre),((IF(J_V="SI",Datos!L12/Datos!K12,(Datos!L12+Datos!AB12)/(Datos!K12+Datos!AA12)))*11)/factor_trimestre," - ")</f>
        <v>17.302796528447445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2.0120405576679341E-2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236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110</v>
      </c>
      <c r="AD14" s="1198">
        <f t="shared" si="2"/>
        <v>0</v>
      </c>
      <c r="AE14" s="1198">
        <f t="shared" si="2"/>
        <v>0</v>
      </c>
      <c r="AF14" s="1198">
        <f t="shared" si="2"/>
        <v>88</v>
      </c>
      <c r="AG14" s="1198">
        <f t="shared" si="2"/>
        <v>0</v>
      </c>
      <c r="AH14" s="1198">
        <f t="shared" si="2"/>
        <v>185</v>
      </c>
      <c r="AI14" s="1198">
        <f t="shared" si="2"/>
        <v>0</v>
      </c>
      <c r="AJ14" s="1198">
        <f t="shared" si="2"/>
        <v>0</v>
      </c>
      <c r="AK14" s="1198">
        <f t="shared" si="2"/>
        <v>0</v>
      </c>
      <c r="AL14" s="1198">
        <f t="shared" si="2"/>
        <v>0</v>
      </c>
      <c r="AM14" s="1198">
        <f t="shared" si="2"/>
        <v>6500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183</v>
      </c>
      <c r="BD14" s="1198">
        <f t="shared" si="2"/>
        <v>298</v>
      </c>
      <c r="BE14" s="1198">
        <f t="shared" si="2"/>
        <v>0</v>
      </c>
      <c r="BF14" s="1198">
        <f t="shared" si="2"/>
        <v>0</v>
      </c>
      <c r="BG14" s="1198">
        <f>IF(ISNUMBER(Datos!K14/Datos!J14),Datos!K14/Datos!J14," - ")</f>
        <v>1.0226804123711339</v>
      </c>
      <c r="BH14" s="1202">
        <f>IF(ISNUMBER(((Datos!L14/Datos!K14)*11)/factor_trimestre),((Datos!L14/Datos!K14)*11)/factor_trimestre," - ")</f>
        <v>17.79435483870968</v>
      </c>
      <c r="BI14" s="1198">
        <f>IF(ISNUMBER('Resol  Asuntos'!D14/NºAsuntos!G14),'Resol  Asuntos'!D14/NºAsuntos!G14," - ")</f>
        <v>0.17428571428571429</v>
      </c>
      <c r="BJ14" s="1198" t="str">
        <f>IF(ISNUMBER(Datos!CI14/Datos!CJ14),Datos!CI14/Datos!CJ14," - ")</f>
        <v xml:space="preserve"> - </v>
      </c>
      <c r="BK14" s="1198">
        <f>SUBTOTAL(9,BK8:BK13)</f>
        <v>0</v>
      </c>
      <c r="BL14" s="1198">
        <f>IF(ISNUMBER((I14-AB14+L14)/(F14)),(I14-AB14+L14)/(F14)," - ")</f>
        <v>-0.14130434782608695</v>
      </c>
      <c r="BM14" s="1203">
        <f>SUBTOTAL(9,BM9:BM13)</f>
        <v>3.9913733186148249E-3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3265</v>
      </c>
      <c r="G17" s="743">
        <f>IF(ISNUMBER(IF(D_I="SI",Datos!I17,Datos!I17+Datos!AC17)),IF(D_I="SI",Datos!I17,Datos!I17+Datos!AC17)," - ")</f>
        <v>3332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1758</v>
      </c>
      <c r="AC17" s="240">
        <f>IF(ISNUMBER(Datos!Q17),Datos!Q17," - ")</f>
        <v>44</v>
      </c>
      <c r="AD17" s="374"/>
      <c r="AE17" s="562"/>
      <c r="AF17" s="741">
        <f>IF(ISNUMBER(IF(D_I="SI",Datos!L17,Datos!L17+Datos!AF17)),IF(D_I="SI",Datos!L17,Datos!L17+Datos!AF17)," - ")</f>
        <v>3379</v>
      </c>
      <c r="AG17" s="374"/>
      <c r="AH17" s="374"/>
      <c r="AI17" s="374"/>
      <c r="AJ17" s="549"/>
      <c r="AK17" s="374"/>
      <c r="AL17" s="545"/>
      <c r="AM17" s="375">
        <f>IF(ISNUMBER(Datos!R17),Datos!R17," - ")</f>
        <v>188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247</v>
      </c>
      <c r="BD17" s="243">
        <f>IF(ISNUMBER(Datos!N17),Datos!N17," - ")</f>
        <v>1266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0.9391025641025641</v>
      </c>
      <c r="BH17" s="764">
        <f>IF(ISNUMBER(((IF(D_I="SI",Datos!L17/Datos!K17,(Datos!L17+Datos!AF17)/(Datos!K17+Datos!AE17)))*11)/factor_trimestre),((IF(D_I="SI",Datos!L17/Datos!K17,(Datos!L17+Datos!AF17)/(Datos!K17+Datos!AE17)))*11)/factor_trimestre," - ")</f>
        <v>5.7662116040955631</v>
      </c>
      <c r="BI17" s="266">
        <f>IF(ISNUMBER('Resol  Asuntos'!D17/NºAsuntos!G17),'Resol  Asuntos'!D17/NºAsuntos!G17," - ")</f>
        <v>0.14050056882821388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163</v>
      </c>
      <c r="AC18" s="547">
        <f>IF(ISNUMBER(Datos!Q18),Datos!Q18," - ")</f>
        <v>1</v>
      </c>
      <c r="AD18" s="549"/>
      <c r="AE18" s="562"/>
      <c r="AF18" s="551">
        <f>IF(ISNUMBER(Datos!L18),Datos!L18,"-")</f>
        <v>518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112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0.90555555555555556</v>
      </c>
      <c r="BH18" s="764">
        <f>IF(ISNUMBER(((IF(D_I="SI",Datos!L18/Datos!K18,(Datos!L18+Datos!AF18)/(Datos!K18+Datos!AE18)))*11)/factor_trimestre),((IF(D_I="SI",Datos!L18/Datos!K18,(Datos!L18+Datos!AF18)/(Datos!K18+Datos!AE18)))*11)/factor_trimestre," - ")</f>
        <v>9.5337423312883427</v>
      </c>
      <c r="BI18" s="763">
        <f>IF(ISNUMBER('Resol  Asuntos'!D18/NºAsuntos!G18),'Resol  Asuntos'!D18/NºAsuntos!G18," - ")</f>
        <v>0.13496932515337423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3265</v>
      </c>
      <c r="G23" s="1197">
        <f>SUBTOTAL(9,G16:G22)</f>
        <v>3833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1921</v>
      </c>
      <c r="AC23" s="1198">
        <f t="shared" si="5"/>
        <v>45</v>
      </c>
      <c r="AD23" s="1198">
        <f t="shared" si="5"/>
        <v>0</v>
      </c>
      <c r="AE23" s="1198">
        <f t="shared" si="5"/>
        <v>0</v>
      </c>
      <c r="AF23" s="1198">
        <f t="shared" si="5"/>
        <v>3897</v>
      </c>
      <c r="AG23" s="1198">
        <f t="shared" si="5"/>
        <v>0</v>
      </c>
      <c r="AH23" s="1198">
        <f t="shared" si="5"/>
        <v>0</v>
      </c>
      <c r="AI23" s="1198">
        <f t="shared" si="5"/>
        <v>0</v>
      </c>
      <c r="AJ23" s="1198">
        <f t="shared" si="5"/>
        <v>0</v>
      </c>
      <c r="AK23" s="1198">
        <f t="shared" si="5"/>
        <v>0</v>
      </c>
      <c r="AL23" s="1198">
        <f t="shared" si="5"/>
        <v>0</v>
      </c>
      <c r="AM23" s="1198">
        <f t="shared" si="5"/>
        <v>191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1378</v>
      </c>
      <c r="BE23" s="1198">
        <f t="shared" si="5"/>
        <v>0</v>
      </c>
      <c r="BF23" s="1198">
        <f t="shared" si="5"/>
        <v>0</v>
      </c>
      <c r="BG23" s="1198">
        <f>IF(ISNUMBER(Datos!K23/Datos!J23),Datos!K23/Datos!J23," - ")</f>
        <v>0.93615984405458086</v>
      </c>
      <c r="BH23" s="1202">
        <f>IF(ISNUMBER(((Datos!L23/Datos!K23)*11)/factor_trimestre),((Datos!L23/Datos!K23)*11)/factor_trimestre," - ")</f>
        <v>6.0858927641853207</v>
      </c>
      <c r="BI23" s="1198">
        <f>SUBTOTAL(9,BI16:BI22)</f>
        <v>0.27546989398158811</v>
      </c>
      <c r="BJ23" s="1198">
        <f>SUBTOTAL(9,BJ16:BJ22)</f>
        <v>0</v>
      </c>
      <c r="BK23" s="1198">
        <f>SUBTOTAL(9,BK16:BK22)</f>
        <v>0</v>
      </c>
      <c r="BL23" s="1198">
        <f>IF(ISNUMBER((I23-AB23+L23)/(F23)),(I23-AB23+L23)/(F23)," - ")</f>
        <v>-0.58836140888208266</v>
      </c>
      <c r="BM23" s="1205">
        <f>IF(ISNUMBER((Datos!P23-Datos!Q23)/(Datos!R23-Datos!P23+Datos!Q23)),(Datos!P23-Datos!Q23)/(Datos!R23-Datos!P23+Datos!Q23)," - ")</f>
        <v>-4.975124378109453E-2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3357</v>
      </c>
      <c r="G31" s="1117">
        <f t="shared" si="18"/>
        <v>3925</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271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1934</v>
      </c>
      <c r="AC31" s="1118">
        <f t="shared" si="19"/>
        <v>155</v>
      </c>
      <c r="AD31" s="1118">
        <f t="shared" si="19"/>
        <v>0</v>
      </c>
      <c r="AE31" s="1118">
        <f t="shared" si="19"/>
        <v>0</v>
      </c>
      <c r="AF31" s="1125">
        <f t="shared" si="19"/>
        <v>3985</v>
      </c>
      <c r="AG31" s="1125">
        <f t="shared" si="19"/>
        <v>0</v>
      </c>
      <c r="AH31" s="1125">
        <f t="shared" si="19"/>
        <v>185</v>
      </c>
      <c r="AI31" s="1125">
        <f t="shared" si="19"/>
        <v>0</v>
      </c>
      <c r="AJ31" s="1118">
        <f t="shared" si="19"/>
        <v>0</v>
      </c>
      <c r="AK31" s="1125">
        <f t="shared" si="19"/>
        <v>0</v>
      </c>
      <c r="AL31" s="1125">
        <f t="shared" si="19"/>
        <v>0</v>
      </c>
      <c r="AM31" s="1125">
        <f t="shared" si="19"/>
        <v>6691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452</v>
      </c>
      <c r="BD31" s="1117">
        <f t="shared" si="19"/>
        <v>1676</v>
      </c>
      <c r="BE31" s="1117">
        <f t="shared" si="19"/>
        <v>0</v>
      </c>
      <c r="BF31" s="1127">
        <f t="shared" si="19"/>
        <v>0</v>
      </c>
      <c r="BG31" s="1223">
        <f>IF(ISNUMBER(Datos!K31/Datos!J31),Datos!K31/Datos!J31," - ")</f>
        <v>0.96393117140966245</v>
      </c>
      <c r="BH31" s="1223">
        <f>IF(ISNUMBER(((Datos!L31/Datos!K31)*11)/factor_trimestre),((Datos!L31/Datos!K31)*11)/factor_trimestre," - ")</f>
        <v>10.073120494335738</v>
      </c>
      <c r="BI31" s="1103">
        <f>IF(ISNUMBER(Datos!J31/Datos!I31),Datos!J31/Datos!I31," - ")</f>
        <v>0.31577847439916407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-0.57610962168602919</v>
      </c>
      <c r="BM31" s="1188">
        <f>IF(ISNUMBER((Datos!P31-Datos!Q31+R31)/(Datos!R31-Datos!P31+Datos!Q31-R31)),(Datos!P31-Datos!Q31+R31)/(Datos!R31-Datos!P31+Datos!Q31-R31)," - ")</f>
        <v>1.7642585551330799E-2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1662.793553030562</v>
      </c>
      <c r="G33" s="674">
        <f>IF(ISNUMBER(STDEV(G8:G30)),STDEV(G8:G30),"-")</f>
        <v>1696.016298776131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882.26656159818606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117.86675285495664</v>
      </c>
      <c r="BD33" s="673"/>
      <c r="BE33" s="673">
        <f>IF(ISNUMBER(STDEV(BE8:BE30)),STDEV(BE8:BE30),"-")</f>
        <v>0</v>
      </c>
      <c r="BF33" s="678">
        <f>IF(ISNUMBER(STDEV(BF8:BF30)),STDEV(BF8:BF30),"-")</f>
        <v>0</v>
      </c>
      <c r="BG33" s="1052">
        <f>IF(ISNUMBER(STDEV(BG8:BG30)),STDEV(BG8:BG30),"-")</f>
        <v>0.20123477383828389</v>
      </c>
      <c r="BH33" s="1058">
        <f>IF(ISNUMBER(STDEV(BH8:BH30)),STDEV(BH8:BH30),"-")</f>
        <v>6.4312680010160648</v>
      </c>
      <c r="BI33" s="273">
        <f>IF(ISNUMBER(STDEV(BI8:BI30)),STDEV(BI8:BI30),"-")</f>
        <v>6.5136507913967592E-2</v>
      </c>
      <c r="BJ33" s="244" t="str">
        <f>IF(ISNUMBER(BL33/BM33),BL33/BM33," - ")</f>
        <v xml:space="preserve"> - </v>
      </c>
      <c r="BK33" s="709"/>
      <c r="BL33" s="681">
        <f>IF(ISNUMBER(STDEV(BL8:BL30)),STDEV(BL8:BL30),"-")</f>
        <v>0.31611707945002293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1ydagRE15snAEtqO9eE1GyOGBeM/HUdaqKyE98GbtwgT/q8a9I78OrBfTH80K2kcH9GKziaL+Y5U6YxatPZAQ==" saltValue="BcvFHUI+b07LdxOhx2E9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AYAMONTE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v>
      </c>
      <c r="AA10" s="551">
        <f>IF(ISNUMBER(Datos!L10),Datos!L10,"-")</f>
        <v>88</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4</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20.30769230769231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-1.6129032258064516E-2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6439</v>
      </c>
      <c r="AF12" s="693" t="str">
        <f>IF(ISNUMBER(Datos!BV12),Datos!BV12," - ")</f>
        <v xml:space="preserve"> - </v>
      </c>
      <c r="AG12" s="552" t="str">
        <f>IF(ISNUMBER(Datos!DV12),Datos!DV12," - ")</f>
        <v xml:space="preserve"> - </v>
      </c>
      <c r="AH12" s="553"/>
      <c r="AI12" s="554"/>
      <c r="AJ12" s="552">
        <f>IF(ISNUMBER(Datos!M12),Datos!M12," - ")</f>
        <v>179</v>
      </c>
      <c r="AK12" s="693">
        <f>IF(ISNUMBER(Datos!N12),Datos!N12," - ")</f>
        <v>292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17.302796528447445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2.0120405576679341E-2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236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110</v>
      </c>
      <c r="AA14" s="1199">
        <f t="shared" si="3"/>
        <v>88</v>
      </c>
      <c r="AB14" s="1199">
        <f t="shared" si="3"/>
        <v>0</v>
      </c>
      <c r="AC14" s="1199">
        <f t="shared" si="3"/>
        <v>0</v>
      </c>
      <c r="AD14" s="1199">
        <f t="shared" si="3"/>
        <v>0</v>
      </c>
      <c r="AE14" s="1199">
        <f t="shared" si="3"/>
        <v>6500</v>
      </c>
      <c r="AF14" s="1211">
        <f t="shared" si="3"/>
        <v>0</v>
      </c>
      <c r="AG14" s="1211">
        <f t="shared" si="3"/>
        <v>0</v>
      </c>
      <c r="AH14" s="1211">
        <f t="shared" si="3"/>
        <v>0</v>
      </c>
      <c r="AI14" s="1211">
        <f t="shared" si="3"/>
        <v>0</v>
      </c>
      <c r="AJ14" s="1211">
        <f t="shared" si="3"/>
        <v>183</v>
      </c>
      <c r="AK14" s="1211">
        <f t="shared" si="3"/>
        <v>298</v>
      </c>
      <c r="AL14" s="1211">
        <f t="shared" si="3"/>
        <v>0</v>
      </c>
      <c r="AM14" s="1211">
        <f t="shared" si="3"/>
        <v>0</v>
      </c>
      <c r="AN14" s="1211">
        <f t="shared" si="3"/>
        <v>0</v>
      </c>
      <c r="AO14" s="1203">
        <f>IF(ISNUMBER(((NºAsuntos!I14/NºAsuntos!G14)*11)/factor_trimestre),((NºAsuntos!I14/NºAsuntos!G14)*11)/factor_trimestre," - ")</f>
        <v>17.340000000000003</v>
      </c>
      <c r="AP14" s="1213" t="str">
        <f>IF(ISNUMBER(Datos!CI14/Datos!CJ14),Datos!CI14/Datos!CJ14," - ")</f>
        <v xml:space="preserve"> - </v>
      </c>
      <c r="AQ14" s="1236">
        <f t="shared" ref="AQ14:AV14" si="4">SUBTOTAL(9,AQ9:AQ13)</f>
        <v>0</v>
      </c>
      <c r="AR14" s="1236">
        <f t="shared" si="4"/>
        <v>3.9913733186148249E-3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3265</v>
      </c>
      <c r="G17" s="552">
        <f>IF(ISNUMBER(IF(D_I="SI",Datos!I17,Datos!I17+Datos!AC17)),IF(D_I="SI",Datos!I17,Datos!I17+Datos!AC17)," - ")</f>
        <v>3332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1758</v>
      </c>
      <c r="Z17" s="805">
        <f>IF(ISNUMBER(Datos!Q17),Datos!Q17," - ")</f>
        <v>44</v>
      </c>
      <c r="AA17" s="551">
        <f>IF(ISNUMBER(IF(D_I="SI",Datos!L17,Datos!L17+Datos!AF17)),IF(D_I="SI",Datos!L17,Datos!L17+Datos!AF17)," - ")</f>
        <v>3379</v>
      </c>
      <c r="AB17" s="549"/>
      <c r="AC17" s="549"/>
      <c r="AD17" s="563"/>
      <c r="AE17" s="563">
        <f>IF(ISNUMBER(Datos!R17),Datos!R17," - ")</f>
        <v>188</v>
      </c>
      <c r="AF17" s="693" t="str">
        <f>IF(ISNUMBER(Datos!BV17),Datos!BV17," - ")</f>
        <v xml:space="preserve"> - </v>
      </c>
      <c r="AG17" s="552"/>
      <c r="AH17" s="553"/>
      <c r="AI17" s="554"/>
      <c r="AJ17" s="552">
        <f>IF(ISNUMBER(Datos!M17),Datos!M17," - ")</f>
        <v>247</v>
      </c>
      <c r="AK17" s="693">
        <f>IF(ISNUMBER(Datos!N17),Datos!N17," - ")</f>
        <v>1266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5.7662116040955631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163</v>
      </c>
      <c r="Z18" s="805">
        <f>IF(ISNUMBER(Datos!Q18),Datos!Q18," - ")</f>
        <v>1</v>
      </c>
      <c r="AA18" s="551">
        <f>IF(ISNUMBER(Datos!L18),Datos!L18,"-")</f>
        <v>518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22</v>
      </c>
      <c r="AK18" s="693">
        <f>IF(ISNUMBER(Datos!N18),Datos!N18," - ")</f>
        <v>112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9.5337423312883427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3265</v>
      </c>
      <c r="G23" s="1197">
        <f>SUBTOTAL(9,G16:G22)</f>
        <v>3833</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1921</v>
      </c>
      <c r="Z23" s="1240">
        <f t="shared" si="6"/>
        <v>45</v>
      </c>
      <c r="AA23" s="1240">
        <f t="shared" si="6"/>
        <v>3897</v>
      </c>
      <c r="AB23" s="1240">
        <f t="shared" si="6"/>
        <v>0</v>
      </c>
      <c r="AC23" s="1240">
        <f t="shared" si="6"/>
        <v>0</v>
      </c>
      <c r="AD23" s="1240">
        <f t="shared" si="6"/>
        <v>0</v>
      </c>
      <c r="AE23" s="1240">
        <f t="shared" si="6"/>
        <v>191</v>
      </c>
      <c r="AF23" s="1240">
        <f t="shared" si="6"/>
        <v>0</v>
      </c>
      <c r="AG23" s="1240">
        <f t="shared" si="6"/>
        <v>0</v>
      </c>
      <c r="AH23" s="1240">
        <f t="shared" si="6"/>
        <v>0</v>
      </c>
      <c r="AI23" s="1240">
        <f t="shared" si="6"/>
        <v>0</v>
      </c>
      <c r="AJ23" s="1240">
        <f t="shared" si="6"/>
        <v>269</v>
      </c>
      <c r="AK23" s="1240">
        <f t="shared" si="6"/>
        <v>1378</v>
      </c>
      <c r="AL23" s="1240">
        <f t="shared" si="6"/>
        <v>0</v>
      </c>
      <c r="AM23" s="1240">
        <f t="shared" si="6"/>
        <v>0</v>
      </c>
      <c r="AN23" s="1240">
        <f t="shared" si="6"/>
        <v>0</v>
      </c>
      <c r="AO23" s="1242">
        <f>IF(ISNUMBER(((NºAsuntos!I23/NºAsuntos!G23)*11)/factor_trimestre),((NºAsuntos!I23/NºAsuntos!G23)*11)/factor_trimestre," - ")</f>
        <v>6.0858927641853207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3357</v>
      </c>
      <c r="G31" s="1117">
        <f t="shared" si="12"/>
        <v>3925</v>
      </c>
      <c r="H31" s="1118">
        <f t="shared" si="12"/>
        <v>0</v>
      </c>
      <c r="I31" s="1117">
        <f t="shared" si="12"/>
        <v>0</v>
      </c>
      <c r="J31" s="1119">
        <f t="shared" si="12"/>
        <v>0</v>
      </c>
      <c r="K31" s="1117">
        <f t="shared" si="12"/>
        <v>0</v>
      </c>
      <c r="L31" s="1120">
        <f t="shared" si="12"/>
        <v>0</v>
      </c>
      <c r="M31" s="1117">
        <f t="shared" si="12"/>
        <v>0</v>
      </c>
      <c r="N31" s="1118">
        <f t="shared" si="12"/>
        <v>271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1934</v>
      </c>
      <c r="Z31" s="1124">
        <f t="shared" si="13"/>
        <v>155</v>
      </c>
      <c r="AA31" s="1125">
        <f t="shared" si="13"/>
        <v>3985</v>
      </c>
      <c r="AB31" s="1125">
        <f t="shared" si="13"/>
        <v>0</v>
      </c>
      <c r="AC31" s="1125">
        <f t="shared" si="13"/>
        <v>0</v>
      </c>
      <c r="AD31" s="1126">
        <f t="shared" si="13"/>
        <v>0</v>
      </c>
      <c r="AE31" s="1126">
        <f t="shared" si="13"/>
        <v>6691</v>
      </c>
      <c r="AF31" s="1127">
        <f t="shared" si="13"/>
        <v>0</v>
      </c>
      <c r="AG31" s="1128">
        <f t="shared" si="13"/>
        <v>0</v>
      </c>
      <c r="AH31" s="1129">
        <f t="shared" si="13"/>
        <v>0</v>
      </c>
      <c r="AI31" s="1127">
        <f t="shared" si="13"/>
        <v>0</v>
      </c>
      <c r="AJ31" s="1117">
        <f t="shared" si="13"/>
        <v>452</v>
      </c>
      <c r="AK31" s="1117">
        <f t="shared" si="13"/>
        <v>1676</v>
      </c>
      <c r="AL31" s="1117">
        <f t="shared" si="13"/>
        <v>0</v>
      </c>
      <c r="AM31" s="1130">
        <f t="shared" si="13"/>
        <v>0</v>
      </c>
      <c r="AN31" s="1120">
        <f>IF(ISNUMBER(Datos!K31/Datos!J31),Datos!K31/Datos!J31," - ")</f>
        <v>0.96393117140966245</v>
      </c>
      <c r="AO31" s="1120">
        <f>IF(ISNUMBER(FIND("06",Criterios!A8,1)),(IF(ISNUMBER(((Datos!R31/Datos!Q31)*11)/factor_trimestre),((Datos!R31/Datos!Q31)*11)/factor_trimestre," - ")),(IF(ISNUMBER(((Datos!L31/Datos!K31)*11)/factor_trimestre),((Datos!L31/Datos!K31)*11)/factor_trimestre," - ")))</f>
        <v>10.073120494335738</v>
      </c>
      <c r="AP31" s="1131" t="str">
        <f>IF(ISNUMBER(Datos!CI31/Datos!CJ31),Datos!CI31/Datos!CJ31," - ")</f>
        <v xml:space="preserve"> - </v>
      </c>
      <c r="AQ31" s="1131">
        <f>IF(OR(ISNUMBER(FIND("01",Criterios!A8,1)),ISNUMBER(FIND("02",Criterios!A8,1)),ISNUMBER(FIND("03",Criterios!A8,1)),ISNUMBER(FIND("04",Criterios!A8,1))),(J31-Y31+K31)/(F31-K31),(I31-Y31+K31)/(F31-K31))</f>
        <v>-0.57610962168602919</v>
      </c>
      <c r="AR31" s="1131">
        <f>IF(ISNUMBER((Datos!P31-Datos!Q31+O31)/(Datos!R31-Datos!P31+Datos!Q31-O31)),(Datos!P31-Datos!Q31+O31)/(Datos!R31-Datos!P31+Datos!Q31-O31)," - ")</f>
        <v>1.7642585551330799E-2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1662.793553030562</v>
      </c>
      <c r="G33" s="674">
        <f>IF(ISNUMBER(STDEV(G8:G30)),STDEV(G8:G30),"-")</f>
        <v>1696.016298776131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117.86675285495664</v>
      </c>
      <c r="AK33" s="276"/>
      <c r="AL33" s="276">
        <f>IF(ISNUMBER(STDEV(AL8:AL30)),STDEV(AL8:AL30),"-")</f>
        <v>0</v>
      </c>
      <c r="AM33" s="278">
        <f>IF(ISNUMBER(STDEV(AM8:AM30)),STDEV(AM8:AM30),"-")</f>
        <v>0</v>
      </c>
      <c r="AN33" s="660">
        <f>IF(ISNUMBER(STDEV(AN8:AN30)),STDEV(AN8:AN30),"-")</f>
        <v>0</v>
      </c>
      <c r="AO33" s="661">
        <f>IF(ISNUMBER(STDEV(AO8:AO30)),STDEV(AO8:AO30),"-")</f>
        <v>6.3629905532718904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dJL6W8AdYuVJbK0RSJHyaFyC5HLxDXYDm2+XhZ8tAWal4VdxfsoBKDTdS4ruLLWmdhqR4Ayefi94GyBeBWlSA==" saltValue="3CwhEISBbB0OYgV6SRJJ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f1BOT9Aj0WEiCAQzDZMZHqXIHpN13qTJOmGAsT6sK7Uje4Gf22O1/KBnr1Ka2Hv4IpaepSrpqGNFgGWFqp49A==" saltValue="4DoEluo72OIuWWzgF9Lu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DhnpyEMhklJD4nWcLViqiL7HxIr9IHTXGTjsZ4YLuTd2aEsXKDl14cIxfSqQhHkmEZYD/3WfZ868aaSEwIig==" saltValue="lmbOMko+p9i9JKPQgnIZ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AYAMONTE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0.17428571428571429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0.12323861043536971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4xieEzWGLNy7IlnWxWzOg1uKqI1fIEv6D4gEnR0CvGl0eAI5FyG0eTXTG12YZMcZ3jdfMvwrw0WUxp9xEsoHQ==" saltValue="jVTrn0eaPDmplfYIzYPF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6pCDi+FUXSLPBhTkyQ6rCnB1bPK1Vu/AC/0oOwvgWv1DAPJi9ks6XY4or5JjMbzMEi96/C1ivBZZr25TZ5mWg==" saltValue="JeFq3ioA4hYbzH2AGOFZ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AYAMONTE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9</v>
      </c>
      <c r="F10" s="452">
        <f>IF(ISNUMBER(E10/B10),E10/B10," - ")</f>
        <v>9</v>
      </c>
      <c r="G10" s="451">
        <f>IF(ISNUMBER(Datos!K10),Datos!K10," - ")</f>
        <v>13</v>
      </c>
      <c r="H10" s="452">
        <f>IF(ISNUMBER(G10/B10),G10/B10," - ")</f>
        <v>13</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5853</v>
      </c>
      <c r="D12" s="452">
        <f>IF(ISNUMBER(C12/Datos!BH12),C12/Datos!BH12," - ")</f>
        <v>1170.5999999999999</v>
      </c>
      <c r="E12" s="451">
        <f>IF(ISNUMBER(IF(J_V="SI",Datos!J12,Datos!J12+Datos!Z12)),IF(J_V="SI",Datos!J12,Datos!J12+Datos!Z12)," - ")</f>
        <v>993</v>
      </c>
      <c r="F12" s="452">
        <f>IF(ISNUMBER(E12/B12),E12/B12," - ")</f>
        <v>198.6</v>
      </c>
      <c r="G12" s="451">
        <f>IF(ISNUMBER(IF(J_V="SI",Datos!K12,Datos!K12+Datos!AA12)),IF(J_V="SI",Datos!K12,Datos!K12+Datos!AA12)," - ")</f>
        <v>1037</v>
      </c>
      <c r="H12" s="452">
        <f>IF(ISNUMBER(G12/B12),G12/B12," - ")</f>
        <v>207.4</v>
      </c>
      <c r="I12" s="451">
        <f>IF(ISNUMBER(IF(J_V="SI",Datos!L12,Datos!L12+Datos!AB12)),IF(J_V="SI",Datos!L12,Datos!L12+Datos!AB12)," - ")</f>
        <v>5981</v>
      </c>
      <c r="J12" s="452">
        <f>IF(ISNUMBER(I12/B12),I12/B12," - ")</f>
        <v>1196.2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5945</v>
      </c>
      <c r="D14" s="1147" t="str">
        <f>IF(ISNUMBER(C14/Datos!BI14),C14/Datos!BI14," - ")</f>
        <v xml:space="preserve"> - </v>
      </c>
      <c r="E14" s="1146">
        <f>SUBTOTAL(9,E8:E13)</f>
        <v>1002</v>
      </c>
      <c r="F14" s="1147">
        <f>IF(ISNUMBER(E14/B14),E14/B14," - ")</f>
        <v>200.4</v>
      </c>
      <c r="G14" s="1146">
        <f>SUBTOTAL(9,G8:G13)</f>
        <v>1050</v>
      </c>
      <c r="H14" s="1147">
        <f>IF(ISNUMBER(G14/B14),G14/B14," - ")</f>
        <v>210</v>
      </c>
      <c r="I14" s="1146">
        <f>SUBTOTAL(9,I8:I13)</f>
        <v>6069</v>
      </c>
      <c r="J14" s="1147">
        <f>IF(ISNUMBER(I14/B14),I14/B14," - ")</f>
        <v>1213.8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3332</v>
      </c>
      <c r="D17" s="452">
        <f>IF(ISNUMBER(C17/Datos!BH17),C17/Datos!BH17," - ")</f>
        <v>666.4</v>
      </c>
      <c r="E17" s="451">
        <f>IF(ISNUMBER(IF(D_I="SI",Datos!J17,Datos!J17+Datos!AD17)),IF(D_I="SI",Datos!J17,Datos!J17+Datos!AD17)," - ")</f>
        <v>1872</v>
      </c>
      <c r="F17" s="452">
        <f>IF(ISNUMBER(E17/B17),E17/B17," - ")</f>
        <v>374.4</v>
      </c>
      <c r="G17" s="451">
        <f>IF(ISNUMBER(IF(D_I="SI",Datos!K17,Datos!K17+Datos!AE17)),IF(D_I="SI",Datos!K17,Datos!K17+Datos!AE17)," - ")</f>
        <v>1758</v>
      </c>
      <c r="H17" s="452">
        <f>IF(ISNUMBER(G17/B17),G17/B17," - ")</f>
        <v>351.6</v>
      </c>
      <c r="I17" s="451">
        <f>IF(ISNUMBER(IF(D_I="SI",Datos!L17,Datos!L17+Datos!AF17)),IF(D_I="SI",Datos!L17,Datos!L17+Datos!AF17)," - ")</f>
        <v>3379</v>
      </c>
      <c r="J17" s="452">
        <f>IF(ISNUMBER(I17/B17),I17/B17," - ")</f>
        <v>675.8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501</v>
      </c>
      <c r="D18" s="452">
        <f>IF(ISNUMBER(C18/Datos!BH18),C18/Datos!BH18," - ")</f>
        <v>501</v>
      </c>
      <c r="E18" s="451">
        <f>IF(ISNUMBER(IF(D_I="SI",Datos!J18,Datos!J18+Datos!AD18)),IF(D_I="SI",Datos!J18,Datos!J18+Datos!AD18)," - ")</f>
        <v>180</v>
      </c>
      <c r="F18" s="452">
        <f>IF(ISNUMBER(E18/B18),E18/B18," - ")</f>
        <v>180</v>
      </c>
      <c r="G18" s="451">
        <f>IF(ISNUMBER(IF(D_I="SI",Datos!K18,Datos!K18+Datos!AE18)),IF(D_I="SI",Datos!K18,Datos!K18+Datos!AE18)," - ")</f>
        <v>163</v>
      </c>
      <c r="H18" s="452">
        <f>IF(ISNUMBER(G18/B18),G18/B18," - ")</f>
        <v>163</v>
      </c>
      <c r="I18" s="451">
        <f>IF(ISNUMBER(IF(D_I="SI",Datos!L18,Datos!L18+Datos!AF18)),IF(D_I="SI",Datos!L18,Datos!L18+Datos!AF18)," - ")</f>
        <v>518</v>
      </c>
      <c r="J18" s="452">
        <f>IF(ISNUMBER(I18/B18),I18/B18," - ")</f>
        <v>518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3833</v>
      </c>
      <c r="D23" s="1147" t="str">
        <f>IF(ISNUMBER(C23/Datos!BI23),C23/Datos!BI23," - ")</f>
        <v xml:space="preserve"> - </v>
      </c>
      <c r="E23" s="1146">
        <f>SUBTOTAL(9,E15:E22)</f>
        <v>2052</v>
      </c>
      <c r="F23" s="1147">
        <f>IF(ISNUMBER(E23/B23),E23/B23," - ")</f>
        <v>410.4</v>
      </c>
      <c r="G23" s="1146">
        <f>SUBTOTAL(9,G15:G22)</f>
        <v>1921</v>
      </c>
      <c r="H23" s="1147">
        <f>IF(ISNUMBER(G23/B23),G23/B23," - ")</f>
        <v>384.2</v>
      </c>
      <c r="I23" s="1146">
        <f>SUBTOTAL(9,I15:I22)</f>
        <v>3897</v>
      </c>
      <c r="J23" s="1147">
        <f>IF(ISNUMBER(I23/B23),I23/B23," - ")</f>
        <v>779.4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9778</v>
      </c>
      <c r="D31" s="1085" t="str">
        <f>IF(ISNUMBER(C31/Datos!BI31),C31/Datos!BI31," - ")</f>
        <v xml:space="preserve"> - </v>
      </c>
      <c r="E31" s="1084">
        <f>SUBTOTAL(9,E9:E30)</f>
        <v>3054</v>
      </c>
      <c r="F31" s="1085">
        <f>IF(ISNUMBER(E31/B31),E31/B31," - ")</f>
        <v>610.79999999999995</v>
      </c>
      <c r="G31" s="1084">
        <f>SUBTOTAL(9,G9:G30)</f>
        <v>2971</v>
      </c>
      <c r="H31" s="1085">
        <f>IF(ISNUMBER(G31/B31),G31/B31," - ")</f>
        <v>594.20000000000005</v>
      </c>
      <c r="I31" s="1084">
        <f>SUBTOTAL(9,I9:I30)</f>
        <v>9966</v>
      </c>
      <c r="J31" s="1085">
        <f>IF(ISNUMBER(I31/B31),I31/B31," - ")</f>
        <v>1993.2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UzYJJRRrlHEuiXI7epP80Krh9i62hpLVeLvHll31HSL4/3H4kP8/W8Y4PuEuBfiSTYKqa3zG6J9Y2iDrLzEKA==" saltValue="+GoLUZz0dT7GK9W81aef7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AYAMONTE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20.30769230769231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179</v>
      </c>
      <c r="AM12" s="914">
        <f>IF(ISNUMBER(Datos!N12+DatosP!N17),Datos!N12+DatosP!N17," - ")</f>
        <v>292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17.302796528447445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2.0120405576679341E-2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236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109</v>
      </c>
      <c r="AE14" s="1257">
        <f t="shared" si="1"/>
        <v>0</v>
      </c>
      <c r="AF14" s="1257">
        <f t="shared" si="1"/>
        <v>88</v>
      </c>
      <c r="AG14" s="1257">
        <f t="shared" si="1"/>
        <v>0</v>
      </c>
      <c r="AH14" s="1257">
        <f t="shared" si="1"/>
        <v>6439</v>
      </c>
      <c r="AI14" s="1257">
        <f t="shared" si="1"/>
        <v>0</v>
      </c>
      <c r="AJ14" s="1257">
        <f t="shared" si="1"/>
        <v>0</v>
      </c>
      <c r="AK14" s="1257">
        <f t="shared" si="1"/>
        <v>0</v>
      </c>
      <c r="AL14" s="1257">
        <f t="shared" si="1"/>
        <v>183</v>
      </c>
      <c r="AM14" s="1257">
        <f t="shared" si="1"/>
        <v>298</v>
      </c>
      <c r="AN14" s="1257">
        <f t="shared" si="1"/>
        <v>0</v>
      </c>
      <c r="AO14" s="1257">
        <f t="shared" si="1"/>
        <v>0</v>
      </c>
      <c r="AP14" s="1262">
        <f>IF(ISNUMBER(((Datos!L14/Datos!K14)*11)/factor_trimestre),((Datos!L14/Datos!K14)*11)/factor_trimestre," - ")</f>
        <v>17.79435483870968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-0.14130434782608695</v>
      </c>
      <c r="AU14" s="1257" t="str">
        <f>IF(ISNUMBER((DatosP!#REF!-DatosP!#REF!+DatosP!#REF!)/(DatosP!#REF!+DatosP!#REF!-DatosP!#REF!-DatosP!#REF!)),(DatosP!#REF!-DatosP!#REF!+DatosP!#REF!)/(DatosP!#REF!+DatosP!#REF!-DatosP!#REF!-DatosP!#REF!)," - ")</f>
        <v xml:space="preserve"> - </v>
      </c>
      <c r="AV14" s="1263">
        <f>SUBTOTAL(9,AV9:AV13)</f>
        <v>2.0120405576679341E-2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6.0858927641853207</v>
      </c>
      <c r="AQ23" s="1262">
        <f>IF(ISNUMBER(((Datos!M23/Datos!L23)*11)/factor_trimestre),((Datos!M23/Datos!L23)*11)/factor_trimestre," - ")</f>
        <v>0.20708237105465746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-4.975124378109453E-2</v>
      </c>
      <c r="AW23" s="1265">
        <f>IF(ISNUMBER((Datos!Q23-Datos!R23)/(Datos!S23-Datos!Q23+Datos!R23)),(Datos!Q23-Datos!R23)/(Datos!S23-Datos!Q23+Datos!R23)," - ")</f>
        <v>-4.7495120364346131E-2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236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109</v>
      </c>
      <c r="AE31" s="1284">
        <f t="shared" si="9"/>
        <v>0</v>
      </c>
      <c r="AF31" s="1285">
        <f t="shared" si="9"/>
        <v>88</v>
      </c>
      <c r="AG31" s="1285">
        <f t="shared" si="9"/>
        <v>0</v>
      </c>
      <c r="AH31" s="1285">
        <f t="shared" si="9"/>
        <v>6439</v>
      </c>
      <c r="AI31" s="1285">
        <f t="shared" si="9"/>
        <v>0</v>
      </c>
      <c r="AJ31" s="1286">
        <f t="shared" si="9"/>
        <v>0</v>
      </c>
      <c r="AK31" s="1286">
        <f t="shared" si="9"/>
        <v>0</v>
      </c>
      <c r="AL31" s="1278">
        <f t="shared" si="9"/>
        <v>183</v>
      </c>
      <c r="AM31" s="1278">
        <f t="shared" si="9"/>
        <v>298</v>
      </c>
      <c r="AN31" s="1278">
        <f t="shared" si="9"/>
        <v>0</v>
      </c>
      <c r="AO31" s="1278">
        <f t="shared" si="9"/>
        <v>0</v>
      </c>
      <c r="AP31" s="1278">
        <f>IF(ISNUMBER(((Datos!L31/Datos!K31)*11)/factor_trimestre),((Datos!L31/Datos!K31)*11)/factor_trimestre," - ")</f>
        <v>10.073120494335738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-0.14130434782608695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1.7642585551330799E-2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92.973114393355672</v>
      </c>
      <c r="AM33" s="1006"/>
      <c r="AN33" s="1006">
        <f>IF(ISNUMBER(STDEV(AN8:AN30)),STDEV(AN8:AN30),"-")</f>
        <v>0</v>
      </c>
      <c r="AO33" s="1012">
        <f>IF(ISNUMBER(STDEV(AO8:AO30)),STDEV(AO8:AO30),"-")</f>
        <v>0</v>
      </c>
      <c r="AP33" s="1065">
        <f>IF(ISNUMBER(STDEV(AP8:AP30)),STDEV(AP8:AP30),"-")</f>
        <v>6.3295240073305985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IKIkQG1cn7qQVWL9cEQOtMw0TEj5VgePGJh3kfepXc5TdkNbmTGwcfKqiOLbSkbyPbJA2I7EgtyyTAVbMYZ3g==" saltValue="FNxV1G5GletuhAIMarFC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AYAMONTE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K+ZUi24r0PmWhupEnyIhovZWvTr33RVLr6y3Tfkzkl3C1LpHjxsNMHTbSsBGTg5PUGp/9dLQv9YmAcghYqwwQ==" saltValue="9BhADmNE20H576gtSz32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AYAMONTE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6</v>
      </c>
      <c r="G10" s="452">
        <f>IF(ISNUMBER(F10/B10),F10/B10," - ")</f>
        <v>6</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179</v>
      </c>
      <c r="E12" s="452">
        <f t="shared" si="0"/>
        <v>35.799999999999997</v>
      </c>
      <c r="F12" s="451">
        <f>IF(ISNUMBER(Datos!N12),Datos!N12," - ")</f>
        <v>292</v>
      </c>
      <c r="G12" s="452">
        <f t="shared" si="1"/>
        <v>58.4</v>
      </c>
      <c r="H12" s="451">
        <f>IF(ISNUMBER(Datos!O12),Datos!O12," - ")</f>
        <v>567</v>
      </c>
      <c r="I12" s="452">
        <f t="shared" si="2"/>
        <v>113.4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183</v>
      </c>
      <c r="E14" s="1147">
        <f t="shared" si="0"/>
        <v>30.5</v>
      </c>
      <c r="F14" s="1146">
        <f>SUBTOTAL(9,F9:F13)</f>
        <v>298</v>
      </c>
      <c r="G14" s="1147">
        <f t="shared" si="1"/>
        <v>49.666666666666664</v>
      </c>
      <c r="H14" s="1146">
        <f>SUBTOTAL(9,H9:H13)</f>
        <v>571</v>
      </c>
      <c r="I14" s="1147">
        <f>IF(ISNUMBER(H14/B14),H14/B14," - ")</f>
        <v>95.166666666666671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247</v>
      </c>
      <c r="E17" s="452">
        <f t="shared" si="3"/>
        <v>49.4</v>
      </c>
      <c r="F17" s="451">
        <f>IF(ISNUMBER(Datos!N17),Datos!N17," - ")</f>
        <v>1266</v>
      </c>
      <c r="G17" s="452">
        <f t="shared" si="4"/>
        <v>253.2</v>
      </c>
      <c r="H17" s="451">
        <f>IF(ISNUMBER(Datos!O17),Datos!O17," - ")</f>
        <v>4</v>
      </c>
      <c r="I17" s="452">
        <f t="shared" si="5"/>
        <v>0.8</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112</v>
      </c>
      <c r="G18" s="452">
        <f>IF(ISNUMBER(F18/B18),F18/B18," - ")</f>
        <v>112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269</v>
      </c>
      <c r="E23" s="1147">
        <f t="shared" si="3"/>
        <v>44.833333333333336</v>
      </c>
      <c r="F23" s="1146">
        <f>SUBTOTAL(9,F16:F22)</f>
        <v>1378</v>
      </c>
      <c r="G23" s="1147">
        <f t="shared" si="4"/>
        <v>229.66666666666666</v>
      </c>
      <c r="H23" s="1146">
        <f>SUBTOTAL(9,H16:H22)</f>
        <v>5</v>
      </c>
      <c r="I23" s="1147">
        <f>IF(ISNUMBER(H23/B23),H23/B23," - ")</f>
        <v>0.83333333333333337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452</v>
      </c>
      <c r="E31" s="1085">
        <f>IF(ISNUMBER(D31/B31),D31/B31," - ")</f>
        <v>90.4</v>
      </c>
      <c r="F31" s="1084">
        <f>SUBTOTAL(9,F8:F30)</f>
        <v>1676</v>
      </c>
      <c r="G31" s="1085">
        <f>IF(ISNUMBER(F31/B31),F31/B31," - ")</f>
        <v>335.2</v>
      </c>
      <c r="H31" s="1084">
        <f>SUBTOTAL(9,H8:H30)</f>
        <v>576</v>
      </c>
      <c r="I31" s="1085">
        <f>IF(ISNUMBER(H31/B31),H31/B31," - ")</f>
        <v>115.2</v>
      </c>
    </row>
    <row r="34" spans="1:1">
      <c r="A34" s="439" t="str">
        <f>Criterios!A4</f>
        <v>Fecha Informe: 05 may. 2023</v>
      </c>
    </row>
    <row r="39" spans="1:1">
      <c r="A39" s="462"/>
    </row>
  </sheetData>
  <sheetProtection algorithmName="SHA-512" hashValue="SyB0ioutDch//MUAMWoCThbwgKFqg2fH65aqDVma5TXxyIk90PCC1NV4mhKeSeL+9GvR+IFu69ODcGTyCDQFwQ==" saltValue="EiKLsPMdLAyZW9ldAd6V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AYAMONTE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236</v>
      </c>
      <c r="C12" s="489">
        <f>IF(ISNUMBER(Datos!Q12),Datos!Q12," - ")</f>
        <v>109</v>
      </c>
      <c r="D12" s="456">
        <f>IF(ISNUMBER(Datos!R12),Datos!R12," - ")</f>
        <v>6439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236</v>
      </c>
      <c r="C14" s="1150">
        <f>SUBTOTAL(9,C9:C13)</f>
        <v>110</v>
      </c>
      <c r="D14" s="1148">
        <f>SUBTOTAL(9,D9:D13)</f>
        <v>6500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44</v>
      </c>
      <c r="D17" s="456">
        <f>IF(ISNUMBER(Datos!R17),Datos!R17," - ")</f>
        <v>188</v>
      </c>
    </row>
    <row r="18" spans="1:4">
      <c r="A18" s="450" t="str">
        <f>Datos!A18</f>
        <v>Jdos. Violencia contra la mujer</v>
      </c>
      <c r="B18" s="488">
        <f>IF(ISNUMBER(Datos!P18),Datos!P18," - ")</f>
        <v>1</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45</v>
      </c>
      <c r="D23" s="1148">
        <f>SUBTOTAL(9,D16:D22)</f>
        <v>191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271</v>
      </c>
      <c r="C31" s="1089">
        <f>SUBTOTAL(9,C8:C30)</f>
        <v>155</v>
      </c>
      <c r="D31" s="1090">
        <f>SUBTOTAL(9,D8:D30)</f>
        <v>6691</v>
      </c>
    </row>
    <row r="32" spans="1:4" ht="7.5" customHeight="1"/>
    <row r="33" spans="1:1" ht="6" customHeight="1"/>
    <row r="34" spans="1:1">
      <c r="A34" s="439" t="str">
        <f>Criterios!A4</f>
        <v>Fecha Informe: 05 may. 2023</v>
      </c>
    </row>
    <row r="39" spans="1:1">
      <c r="A39" s="462"/>
    </row>
  </sheetData>
  <sheetProtection algorithmName="SHA-512" hashValue="GmE0U5YaLRdffD8t6kEFCmk6c3H2MGCKQKdBirhV2qRqtNP1L2VbbfdCOblrkbfpyAK+NovPse18ZA77a9W+uw==" saltValue="AMZAyuzeTOiZvT4ZuoxP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AYAMONTE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-7.0707070707070704E-2</v>
      </c>
      <c r="C10" s="515">
        <f>IF(ISNUMBER((Datos!J10-Datos!T10)/Datos!T10),(Datos!J10-Datos!T10)/Datos!T10," - ")</f>
        <v>-0.4</v>
      </c>
      <c r="D10" s="515">
        <f>IF(ISNUMBER((Datos!K10-Datos!U10)/Datos!U10),(Datos!K10-Datos!U10)/Datos!U10," - ")</f>
        <v>-0.61764705882352944</v>
      </c>
      <c r="E10" s="515">
        <f>IF(ISNUMBER((Datos!L10-Datos!V10)/Datos!V10),(Datos!L10-Datos!V10)/Datos!V10," - ")</f>
        <v>0.1</v>
      </c>
      <c r="F10" s="515">
        <f>IF(ISNUMBER((Datos!M10-Datos!W10)/Datos!W10),(Datos!M10-Datos!W10)/Datos!W10," - ")</f>
        <v>-0.81818181818181823</v>
      </c>
      <c r="G10" s="516">
        <f>IF(ISNUMBER((Datos!N10-Datos!X10)/Datos!X10),(Datos!N10-Datos!X10)/Datos!X10," - ")</f>
        <v>-0.25</v>
      </c>
      <c r="H10" s="514">
        <f>IF(ISNUMBER(((NºAsuntos!G10/NºAsuntos!E10)-Datos!BD10)/Datos!BD10),((NºAsuntos!G10/NºAsuntos!E10)-Datos!BD10)/Datos!BD10," - ")</f>
        <v>-0.36274509803921567</v>
      </c>
      <c r="I10" s="515">
        <f>IF(ISNUMBER(((NºAsuntos!I10/NºAsuntos!G10)-Datos!BE10)/Datos!BE10),((NºAsuntos!I10/NºAsuntos!G10)-Datos!BE10)/Datos!BE10," - ")</f>
        <v>1.8769230769230769</v>
      </c>
      <c r="J10" s="521">
        <f>IF(ISNUMBER((('Resol  Asuntos'!D10/NºAsuntos!G10)-Datos!BF10)/Datos!BF10),(('Resol  Asuntos'!D10/NºAsuntos!G10)-Datos!BF10)/Datos!BF10," - ")</f>
        <v>-0.52447552447552448</v>
      </c>
      <c r="K10" s="522">
        <f>IF(ISNUMBER((((NºAsuntos!C10+NºAsuntos!E10)/NºAsuntos!G10)-Datos!BG10)/Datos!BG10),(((NºAsuntos!C10+NºAsuntos!E10)/NºAsuntos!G10)-Datos!BG10)/Datos!BG10," - ")</f>
        <v>1.3171390013495277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9.6272710245364296E-2</v>
      </c>
      <c r="C12" s="515">
        <f>IF(ISNUMBER(
   IF(J_V="SI",(Datos!J12-Datos!T12)/Datos!T12,(Datos!J12+Datos!Z12-(Datos!T12+Datos!AH12))/(Datos!T12+Datos!AH12))
     ),IF(J_V="SI",(Datos!J12-Datos!T12)/Datos!T12,(Datos!J12+Datos!Z12-(Datos!T12+Datos!AH12))/(Datos!T12+Datos!AH12))," - ")</f>
        <v>-7.8849721706864564E-2</v>
      </c>
      <c r="D12" s="515">
        <f>IF(ISNUMBER(
   IF(J_V="SI",(Datos!K12-Datos!U12)/Datos!U12,(Datos!K12+Datos!AA12-(Datos!U12+Datos!AI12))/(Datos!U12+Datos!AI12))
     ),IF(J_V="SI",(Datos!K12-Datos!U12)/Datos!U12,(Datos!K12+Datos!AA12-(Datos!U12+Datos!AI12))/(Datos!U12+Datos!AI12))," - ")</f>
        <v>-3.3550792171481825E-2</v>
      </c>
      <c r="E12" s="515">
        <f>IF(ISNUMBER(
   IF(J_V="SI",(Datos!L12-Datos!V12)/Datos!V12,(Datos!L12+Datos!AB12-(Datos!V12+Datos!AJ12))/(Datos!V12+Datos!AJ12))
     ),IF(J_V="SI",(Datos!L12-Datos!V12)/Datos!V12,(Datos!L12+Datos!AB12-(Datos!V12+Datos!AJ12))/(Datos!V12+Datos!AJ12))," - ")</f>
        <v>0.11919910179640719</v>
      </c>
      <c r="F12" s="515">
        <f>IF(ISNUMBER((Datos!M12-Datos!W12)/Datos!W12),(Datos!M12-Datos!W12)/Datos!W12," - ")</f>
        <v>0.14743589743589744</v>
      </c>
      <c r="G12" s="516">
        <f>IF(ISNUMBER((Datos!N12-Datos!X12)/Datos!X12),(Datos!N12-Datos!X12)/Datos!X12," - ")</f>
        <v>-0.27543424317617865</v>
      </c>
      <c r="H12" s="514">
        <f>IF(ISNUMBER(((NºAsuntos!G12/NºAsuntos!E12)-Datos!BD12)/Datos!BD12),((NºAsuntos!G12/NºAsuntos!E12)-Datos!BD12)/Datos!BD12," - ")</f>
        <v>4.917648140900558E-2</v>
      </c>
      <c r="I12" s="515">
        <f>IF(ISNUMBER(((NºAsuntos!I12/NºAsuntos!G12)-Datos!BE12)/Datos!BE12),((NºAsuntos!I12/NºAsuntos!G12)-Datos!BE12)/Datos!BE12," - ")</f>
        <v>0.15805268681537593</v>
      </c>
      <c r="J12" s="521">
        <f>IF(ISNUMBER((('Resol  Asuntos'!D12/NºAsuntos!G12)-Datos!BF12)/Datos!BF12),(('Resol  Asuntos'!D12/NºAsuntos!G12)-Datos!BF12)/Datos!BF12," - ")</f>
        <v>-0.54041171445594871</v>
      </c>
      <c r="K12" s="522">
        <f>IF(ISNUMBER((((NºAsuntos!C12+NºAsuntos!E12)/NºAsuntos!G12)-Datos!BG12)/Datos!BG12),(((NºAsuntos!C12+NºAsuntos!E12)/NºAsuntos!G12)-Datos!BG12)/Datos!BG12," - ")</f>
        <v>0.10389005578089416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9.3232806178742189E-2</v>
      </c>
      <c r="C14" s="1152">
        <f>IF(ISNUMBER(
   IF(J_V="SI",(Datos!J14-Datos!T14)/Datos!T14,(Datos!J14+Datos!Z14-(Datos!T14+Datos!AH14))/(Datos!T14+Datos!AH14))
     ),IF(J_V="SI",(Datos!J14-Datos!T14)/Datos!T14,(Datos!J14+Datos!Z14-(Datos!T14+Datos!AH14))/(Datos!T14+Datos!AH14))," - ")</f>
        <v>-8.3257090576395243E-2</v>
      </c>
      <c r="D14" s="1152">
        <f>IF(ISNUMBER(
   IF(J_V="SI",(Datos!K14-Datos!U14)/Datos!U14,(Datos!K14+Datos!AA14-(Datos!U14+Datos!AI14))/(Datos!U14+Datos!AI14))
     ),IF(J_V="SI",(Datos!K14-Datos!U14)/Datos!U14,(Datos!K14+Datos!AA14-(Datos!U14+Datos!AI14))/(Datos!U14+Datos!AI14))," - ")</f>
        <v>-5.1490514905149054E-2</v>
      </c>
      <c r="E14" s="1152">
        <f>IF(ISNUMBER(
   IF(J_V="SI",(Datos!L14-Datos!V14)/Datos!V14,(Datos!L14+Datos!AB14-(Datos!V14+Datos!AJ14))/(Datos!V14+Datos!AJ14))
     ),IF(J_V="SI",(Datos!L14-Datos!V14)/Datos!V14,(Datos!L14+Datos!AB14-(Datos!V14+Datos!AJ14))/(Datos!V14+Datos!AJ14))," - ")</f>
        <v>0.11891592920353983</v>
      </c>
      <c r="F14" s="1153">
        <f>IF(ISNUMBER((Datos!M14-Datos!W14)/Datos!W14),(Datos!M14-Datos!W14)/Datos!W14," - ")</f>
        <v>2.8089887640449437E-2</v>
      </c>
      <c r="G14" s="1154">
        <f>IF(ISNUMBER((Datos!N14-Datos!X14)/Datos!X14),(Datos!N14-Datos!X14)/Datos!X14," - ")</f>
        <v>-0.27493917274939172</v>
      </c>
      <c r="H14" s="1154">
        <f>IF(ISNUMBER(((NºAsuntos!G14/NºAsuntos!E14)-Datos!BD14)/Datos!BD14),((NºAsuntos!G14/NºAsuntos!E14)-Datos!BD14)/Datos!BD14," - ")</f>
        <v>3.465156408051108E-2</v>
      </c>
      <c r="I14" s="1154">
        <f>IF(ISNUMBER(((NºAsuntos!I14/NºAsuntos!G14)-Datos!BE14)/Datos!BE14),((NºAsuntos!I14/NºAsuntos!G14)-Datos!BE14)/Datos!BE14," - ")</f>
        <v>0.17965707964601774</v>
      </c>
      <c r="J14" s="1154">
        <f>IF(ISNUMBER((('Resol  Asuntos'!D14/NºAsuntos!G14)-Datos!BF14)/Datos!BF14),(('Resol  Asuntos'!D14/NºAsuntos!G14)-Datos!BF14)/Datos!BF14," - ")</f>
        <v>-0.54603697478991597</v>
      </c>
      <c r="K14" s="1154">
        <f>IF(ISNUMBER((((NºAsuntos!C14+NºAsuntos!E14)/NºAsuntos!G14)-Datos!BG14)/Datos!BG14),(((NºAsuntos!C14+NºAsuntos!E14)/NºAsuntos!G14)-Datos!BG14)/Datos!BG14," - ")</f>
        <v>0.12143972701620837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0.32907857997606699</v>
      </c>
      <c r="C17" s="515">
        <f>IF(ISNUMBER(
   IF(D_I="SI",(Datos!J17-Datos!T17)/Datos!T17,(Datos!J17+Datos!AD17-(Datos!T17+Datos!AL17))/(Datos!T17+Datos!AL17))
     ),IF(D_I="SI",(Datos!J17-Datos!T17)/Datos!T17,(Datos!J17+Datos!AD17-(Datos!T17+Datos!AL17))/(Datos!T17+Datos!AL17))," - ")</f>
        <v>0.25721961047683006</v>
      </c>
      <c r="D17" s="515">
        <f>IF(ISNUMBER(
   IF(D_I="SI",(Datos!K17-Datos!U17)/Datos!U17,(Datos!K17+Datos!AE17-(Datos!U17+Datos!AM17))/(Datos!U17+Datos!AM17))
     ),IF(D_I="SI",(Datos!K17-Datos!U17)/Datos!U17,(Datos!K17+Datos!AE17-(Datos!U17+Datos!AM17))/(Datos!U17+Datos!AM17))," - ")</f>
        <v>5.3956834532374098E-2</v>
      </c>
      <c r="E17" s="515">
        <f>IF(ISNUMBER(
   IF(D_I="SI",(Datos!L17-Datos!V17)/Datos!V17,(Datos!L17+Datos!AF17-(Datos!V17+Datos!AN17))/(Datos!V17+Datos!AN17))
     ),IF(D_I="SI",(Datos!L17-Datos!V17)/Datos!V17,(Datos!L17+Datos!AF17-(Datos!V17+Datos!AN17))/(Datos!V17+Datos!AN17))," - ")</f>
        <v>0.33293885601577911</v>
      </c>
      <c r="F17" s="515">
        <f>IF(ISNUMBER((Datos!M17-Datos!W17)/Datos!W17),(Datos!M17-Datos!W17)/Datos!W17," - ")</f>
        <v>-9.8540145985401464E-2</v>
      </c>
      <c r="G17" s="516">
        <f>IF(ISNUMBER((Datos!N17-Datos!X17)/Datos!X17),(Datos!N17-Datos!X17)/Datos!X17," - ")</f>
        <v>0.16682027649769585</v>
      </c>
      <c r="H17" s="514">
        <f>IF(ISNUMBER(((NºAsuntos!G17/NºAsuntos!E17)-Datos!BD17)/Datos!BD17),((NºAsuntos!G17/NºAsuntos!E17)-Datos!BD17)/Datos!BD17," - ")</f>
        <v>-0.16167642808829868</v>
      </c>
      <c r="I17" s="515">
        <f>IF(ISNUMBER(((NºAsuntos!I17/NºAsuntos!G17)-Datos!BE17)/Datos!BE17),((NºAsuntos!I17/NºAsuntos!G17)-Datos!BE17)/Datos!BE17," - ")</f>
        <v>0.26469966543476636</v>
      </c>
      <c r="J17" s="521">
        <f>IF(ISNUMBER((('Resol  Asuntos'!D17/NºAsuntos!G17)-Datos!BF17)/Datos!BF17),(('Resol  Asuntos'!D17/NºAsuntos!G17)-Datos!BF17)/Datos!BF17," - ")</f>
        <v>-0.14468996786328198</v>
      </c>
      <c r="K17" s="522">
        <f>IF(ISNUMBER((((NºAsuntos!C17+NºAsuntos!E17)/NºAsuntos!G17)-Datos!BG17)/Datos!BG17),(((NºAsuntos!C17+NºAsuntos!E17)/NºAsuntos!G17)-Datos!BG17)/Datos!BG17," - ")</f>
        <v>0.2356315359728329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0.19002375296912113</v>
      </c>
      <c r="C18" s="515">
        <f>IF(ISNUMBER(
   IF(D_I="SI",(Datos!J18-Datos!T18)/Datos!T18,(Datos!J18+Datos!AD18-(Datos!T18+Datos!AL18))/(Datos!T18+Datos!AL18))
     ),IF(D_I="SI",(Datos!J18-Datos!T18)/Datos!T18,(Datos!J18+Datos!AD18-(Datos!T18+Datos!AL18))/(Datos!T18+Datos!AL18))," - ")</f>
        <v>-1.6393442622950821E-2</v>
      </c>
      <c r="D18" s="515">
        <f>IF(ISNUMBER(
   IF(D_I="SI",(Datos!K18-Datos!U18)/Datos!U18,(Datos!K18+Datos!AE18-(Datos!U18+Datos!AM18))/(Datos!U18+Datos!AM18))
     ),IF(D_I="SI",(Datos!K18-Datos!U18)/Datos!U18,(Datos!K18+Datos!AE18-(Datos!U18+Datos!AM18))/(Datos!U18+Datos!AM18))," - ")</f>
        <v>-0.15979381443298968</v>
      </c>
      <c r="E18" s="515">
        <f>IF(ISNUMBER(
   IF(D_I="SI",(Datos!L18-Datos!V18)/Datos!V18,(Datos!L18+Datos!AF18-(Datos!V18+Datos!AN18))/(Datos!V18+Datos!AN18))
     ),IF(D_I="SI",(Datos!L18-Datos!V18)/Datos!V18,(Datos!L18+Datos!AF18-(Datos!V18+Datos!AN18))/(Datos!V18+Datos!AN18))," - ")</f>
        <v>0.25728155339805825</v>
      </c>
      <c r="F18" s="515">
        <f>IF(ISNUMBER((Datos!M18-Datos!W18)/Datos!W18),(Datos!M18-Datos!W18)/Datos!W18," - ")</f>
        <v>-0.21428571428571427</v>
      </c>
      <c r="G18" s="516">
        <f>IF(ISNUMBER((Datos!N18-Datos!X18)/Datos!X18),(Datos!N18-Datos!X18)/Datos!X18," - ")</f>
        <v>-0.104</v>
      </c>
      <c r="H18" s="514">
        <f>IF(ISNUMBER(((NºAsuntos!G18/NºAsuntos!E18)-Datos!BD18)/Datos!BD18),((NºAsuntos!G18/NºAsuntos!E18)-Datos!BD18)/Datos!BD18," - ")</f>
        <v>-0.14579037800687292</v>
      </c>
      <c r="I18" s="515">
        <f>IF(ISNUMBER(((NºAsuntos!I18/NºAsuntos!G18)-Datos!BE18)/Datos!BE18),((NºAsuntos!I18/NºAsuntos!G18)-Datos!BE18)/Datos!BE18," - ")</f>
        <v>0.49639645005658461</v>
      </c>
      <c r="J18" s="521">
        <f>IF(ISNUMBER((('Resol  Asuntos'!D18/NºAsuntos!G18)-Datos!BF18)/Datos!BF18),(('Resol  Asuntos'!D18/NºAsuntos!G18)-Datos!BF18)/Datos!BF18," - ")</f>
        <v>-6.4855390008764169E-2</v>
      </c>
      <c r="K18" s="522">
        <f>IF(ISNUMBER((((NºAsuntos!C18+NºAsuntos!E18)/NºAsuntos!G18)-Datos!BG18)/Datos!BG18),(((NºAsuntos!C18+NºAsuntos!E18)/NºAsuntos!G18)-Datos!BG18)/Datos!BG18," - ")</f>
        <v>0.34191281030349824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0.30908469945355194</v>
      </c>
      <c r="C23" s="1152">
        <f>IF(ISNUMBER(
   IF(Criterios!B14="SI",(Datos!J23-Datos!T23)/Datos!T23,(Datos!J23+Datos!AD23-(Datos!T23+Datos!AL23))/(Datos!T23+Datos!AL23))
     ),IF(Criterios!B14="SI",(Datos!J23-Datos!T23)/Datos!T23,(Datos!J23+Datos!AD23-(Datos!T23+Datos!AL23))/(Datos!T23+Datos!AL23))," - ")</f>
        <v>0.22727272727272727</v>
      </c>
      <c r="D23" s="1152">
        <f>IF(ISNUMBER(
   IF(Criterios!B14="SI",(Datos!K23-Datos!U23)/Datos!U23,(Datos!K23+Datos!AE23-(Datos!U23+Datos!AM23))/(Datos!U23+Datos!AM23))
     ),IF(Criterios!B14="SI",(Datos!K23-Datos!U23)/Datos!U23,(Datos!K23+Datos!AE23-(Datos!U23+Datos!AM23))/(Datos!U23+Datos!AM23))," - ")</f>
        <v>3.1686358754027928E-2</v>
      </c>
      <c r="E23" s="1152">
        <f>IF(ISNUMBER(
   IF(Criterios!B14="SI",(Datos!L23-Datos!V23)/Datos!V23,(Datos!L23+Datos!AF23-(Datos!V23+Datos!AN23))/(Datos!V23+Datos!AN23))
     ),IF(Criterios!B14="SI",(Datos!L23-Datos!V23)/Datos!V23,(Datos!L23+Datos!AF23-(Datos!V23+Datos!AN23))/(Datos!V23+Datos!AN23))," - ")</f>
        <v>0.32236172378690192</v>
      </c>
      <c r="F23" s="1153">
        <f>IF(ISNUMBER((Datos!M23-Datos!W23)/Datos!W23),(Datos!M23-Datos!W23)/Datos!W23," - ")</f>
        <v>-0.10927152317880795</v>
      </c>
      <c r="G23" s="1154">
        <f>IF(ISNUMBER((Datos!N23-Datos!X23)/Datos!X23),(Datos!N23-Datos!X23)/Datos!X23," - ")</f>
        <v>0.13884297520661157</v>
      </c>
      <c r="H23" s="1154">
        <f>IF(ISNUMBER(((NºAsuntos!G23/NºAsuntos!E23)-Datos!BD23)/Datos!BD23),((NºAsuntos!G23/NºAsuntos!E23)-Datos!BD23)/Datos!BD23," - ")</f>
        <v>-0.15936667064486609</v>
      </c>
      <c r="I23" s="1154">
        <f>IF(ISNUMBER(((NºAsuntos!I23/NºAsuntos!G23)-Datos!BE23)/Datos!BE23),((NºAsuntos!I23/NºAsuntos!G23)-Datos!BE23)/Datos!BE23," - ")</f>
        <v>0.28174780306674196</v>
      </c>
      <c r="J23" s="1154">
        <f>IF(ISNUMBER((('Resol  Asuntos'!D23/NºAsuntos!G23)-Datos!BF23)/Datos!BF23),(('Resol  Asuntos'!D23/NºAsuntos!G23)-Datos!BF23)/Datos!BF23," - ")</f>
        <v>-0.13662861851064043</v>
      </c>
      <c r="K23" s="1154">
        <f>IF(ISNUMBER((((NºAsuntos!C23+NºAsuntos!E23)/NºAsuntos!G23)-Datos!BG23)/Datos!BG23),(((NºAsuntos!C23+NºAsuntos!E23)/NºAsuntos!G23)-Datos!BG23)/Datos!BG23," - ")</f>
        <v>0.24005499852884582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0.16877838871623238</v>
      </c>
      <c r="C31" s="1092">
        <f>IF(ISNUMBER(
   IF(J_V="SI",(Datos!J31-Datos!T31)/Datos!T31,(Datos!J31+Datos!Z31-(Datos!T31+Datos!AH31))/(Datos!T31+Datos!AH31))
     ),IF(J_V="SI",(Datos!J31-Datos!T31)/Datos!T31,(Datos!J31+Datos!Z31-(Datos!T31+Datos!AH31))/(Datos!T31+Datos!AH31))," - ")</f>
        <v>0.10452079566003616</v>
      </c>
      <c r="D31" s="1092">
        <f>IF(ISNUMBER(
   IF(J_V="SI",(Datos!K31-Datos!U31)/Datos!U31,(Datos!K31+Datos!AA31-(Datos!U31+Datos!AI31))/(Datos!U31+Datos!AI31))
     ),IF(J_V="SI",(Datos!K31-Datos!U31)/Datos!U31,(Datos!K31+Datos!AA31-(Datos!U31+Datos!AI31))/(Datos!U31+Datos!AI31))," - ")</f>
        <v>6.7362748400134724E-4</v>
      </c>
      <c r="E31" s="1092">
        <f>IF(ISNUMBER(
   IF(J_V="SI",(Datos!L31-Datos!V31)/Datos!V31,(Datos!L31+Datos!AB31-(Datos!V31+Datos!AJ31))/(Datos!V31+Datos!AJ31))
     ),IF(J_V="SI",(Datos!L31-Datos!V31)/Datos!V31,(Datos!L31+Datos!AB31-(Datos!V31+Datos!AJ31))/(Datos!V31+Datos!AJ31))," - ")</f>
        <v>0.19053876478318002</v>
      </c>
      <c r="F31" s="1093">
        <f>IF(ISNUMBER((Datos!M31-Datos!W31)/Datos!W31),(Datos!M31-Datos!W31)/Datos!W31," - ")</f>
        <v>-5.8333333333333334E-2</v>
      </c>
      <c r="G31" s="1094">
        <f>IF(ISNUMBER((Datos!N31-Datos!X31)/Datos!X31),(Datos!N31-Datos!X31)/Datos!X31," - ")</f>
        <v>3.3929673041332507E-2</v>
      </c>
      <c r="H31" s="1095">
        <f>IF(ISNUMBER((Tasas!B31-Datos!BD31)/Datos!BD31),(Tasas!B31-Datos!BD31)/Datos!BD31," - ")</f>
        <v>-9.4020111331609826E-2</v>
      </c>
      <c r="I31" s="1096">
        <f>IF(ISNUMBER((Tasas!C31-Datos!BE31)/Datos!BE31),(Tasas!C31-Datos!BE31)/Datos!BE31," - ")</f>
        <v>0.1897373250223027</v>
      </c>
      <c r="J31" s="1097">
        <f>IF(ISNUMBER((Tasas!D31-Datos!BF31)/Datos!BF31),(Tasas!D31-Datos!BF31)/Datos!BF31," - ")</f>
        <v>-0.37868538466987384</v>
      </c>
      <c r="K31" s="1097">
        <f>IF(ISNUMBER((Tasas!E31-Datos!BG31)/Datos!BG31),(Tasas!E31-Datos!BG31)/Datos!BG31," - ")</f>
        <v>0.15204041245470507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goHbQwIFA5zgV8cBUI8wGgXhNcoZpg5fhYe/bau2Tf1NZD/8DKdNaBm69MsxGq4ipkCBli9aeZuILQv0cR+MA==" saltValue="DBiuRdedS5ueg5gMq03p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AYAMONTE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1.4444444444444444</v>
      </c>
      <c r="C10" s="498">
        <f>IF(ISNUMBER(NºAsuntos!I10/NºAsuntos!G10),NºAsuntos!I10/NºAsuntos!G10," - ")</f>
        <v>6.7692307692307692</v>
      </c>
      <c r="D10" s="499">
        <f>IF(ISNUMBER('Resol  Asuntos'!D10/NºAsuntos!G10),'Resol  Asuntos'!D10/NºAsuntos!G10," - ")</f>
        <v>0.30769230769230771</v>
      </c>
      <c r="E10" s="500">
        <f>IF(ISNUMBER((NºAsuntos!C10+NºAsuntos!E10)/NºAsuntos!G10),(NºAsuntos!C10+NºAsuntos!E10)/NºAsuntos!G10," - ")</f>
        <v>7.7692307692307692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1.0443101711983886</v>
      </c>
      <c r="C12" s="498">
        <f>IF(ISNUMBER(NºAsuntos!I12/NºAsuntos!G12),NºAsuntos!I12/NºAsuntos!G12," - ")</f>
        <v>5.7675988428158149</v>
      </c>
      <c r="D12" s="499">
        <f>IF(ISNUMBER('Resol  Asuntos'!D12/NºAsuntos!G12),'Resol  Asuntos'!D12/NºAsuntos!G12," - ")</f>
        <v>0.17261330761812921</v>
      </c>
      <c r="E12" s="500">
        <f>IF(ISNUMBER((NºAsuntos!C12+NºAsuntos!E12)/NºAsuntos!G12),(NºAsuntos!C12+NºAsuntos!E12)/NºAsuntos!G12," - ")</f>
        <v>6.6017357762777245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1.0479041916167664</v>
      </c>
      <c r="C14" s="1156">
        <f>IF(ISNUMBER(NºAsuntos!I14/NºAsuntos!G14),NºAsuntos!I14/NºAsuntos!G14," - ")</f>
        <v>5.78</v>
      </c>
      <c r="D14" s="1157">
        <f>IF(ISNUMBER('Resol  Asuntos'!D14/NºAsuntos!G14),'Resol  Asuntos'!D14/NºAsuntos!G14," - ")</f>
        <v>0.17428571428571429</v>
      </c>
      <c r="E14" s="1158">
        <f>IF(ISNUMBER((NºAsuntos!C14+NºAsuntos!E14)/NºAsuntos!G14),(NºAsuntos!C14+NºAsuntos!E14)/NºAsuntos!G14," - ")</f>
        <v>6.616190476190476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0.9391025641025641</v>
      </c>
      <c r="C17" s="498">
        <f>IF(ISNUMBER(NºAsuntos!I17/NºAsuntos!G17),NºAsuntos!I17/NºAsuntos!G17," - ")</f>
        <v>1.922070534698521</v>
      </c>
      <c r="D17" s="499">
        <f>IF(ISNUMBER('Resol  Asuntos'!D17/NºAsuntos!G17),'Resol  Asuntos'!D17/NºAsuntos!G17," - ")</f>
        <v>0.14050056882821388</v>
      </c>
      <c r="E17" s="500">
        <f>IF(ISNUMBER((NºAsuntos!C17+NºAsuntos!E17)/NºAsuntos!G17),(NºAsuntos!C17+NºAsuntos!E17)/NºAsuntos!G17," - ")</f>
        <v>2.9601820250284416</v>
      </c>
      <c r="G17" s="523"/>
    </row>
    <row r="18" spans="1:7">
      <c r="A18" s="450" t="str">
        <f>Datos!A18</f>
        <v>Jdos. Violencia contra la mujer</v>
      </c>
      <c r="B18" s="497">
        <f>IF(ISNUMBER(NºAsuntos!G18/NºAsuntos!E18),NºAsuntos!G18/NºAsuntos!E18," - ")</f>
        <v>0.90555555555555556</v>
      </c>
      <c r="C18" s="498">
        <f>IF(ISNUMBER(NºAsuntos!I18/NºAsuntos!G18),NºAsuntos!I18/NºAsuntos!G18," - ")</f>
        <v>3.1779141104294477</v>
      </c>
      <c r="D18" s="499">
        <f>IF(ISNUMBER('Resol  Asuntos'!D18/NºAsuntos!G18),'Resol  Asuntos'!D18/NºAsuntos!G18," - ")</f>
        <v>0.13496932515337423</v>
      </c>
      <c r="E18" s="500">
        <f>IF(ISNUMBER((NºAsuntos!C18+NºAsuntos!E18)/NºAsuntos!G18),(NºAsuntos!C18+NºAsuntos!E18)/NºAsuntos!G18," - ")</f>
        <v>4.1779141104294482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0.93615984405458086</v>
      </c>
      <c r="C23" s="1156">
        <f>IF(ISNUMBER(NºAsuntos!I23/NºAsuntos!G23),NºAsuntos!I23/NºAsuntos!G23," - ")</f>
        <v>2.0286309213951066</v>
      </c>
      <c r="D23" s="1159">
        <f>IF(ISNUMBER('Resol  Asuntos'!D23/NºAsuntos!G23),'Resol  Asuntos'!D23/NºAsuntos!G23," - ")</f>
        <v>0.14003123373243104</v>
      </c>
      <c r="E23" s="1158">
        <f>IF(ISNUMBER((NºAsuntos!C23+NºAsuntos!E23)/NºAsuntos!G23),(NºAsuntos!C23+NºAsuntos!E23)/NºAsuntos!G23," - ")</f>
        <v>3.0635085892764184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0.97282252783235101</v>
      </c>
      <c r="C31" s="1099">
        <f>IF(ISNUMBER(NºAsuntos!I31/NºAsuntos!G31),NºAsuntos!I31/NºAsuntos!G31," - ")</f>
        <v>3.3544261191518006</v>
      </c>
      <c r="D31" s="1100">
        <f>IF(ISNUMBER('Resol  Asuntos'!D31/NºAsuntos!G31),'Resol  Asuntos'!D31/NºAsuntos!G31," - ")</f>
        <v>0.15213732749915854</v>
      </c>
      <c r="E31" s="1101">
        <f>IF(ISNUMBER((NºAsuntos!C31+NºAsuntos!E31)/NºAsuntos!G31),(NºAsuntos!C31+NºAsuntos!E31)/NºAsuntos!G31," - ")</f>
        <v>4.3190844833389432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xezg0jdioxGOxk50Pt1O1ipeeN5T83GGUcHl9LPPFPz+nFNgDRdt5J7MQjsrlG7qX5QTDsyyrBsMyo9n7NI3g==" saltValue="FJTt759pjPdkqu/MZDt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AYAMONTE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v>
      </c>
      <c r="Y10" s="374">
        <f t="shared" ref="Y10:Y13" si="0">SUM(W10:X10)</f>
        <v>14</v>
      </c>
      <c r="Z10" s="375" t="str">
        <f>IF(ISNUMBER(Datos!CC10),Datos!CC10," - ")</f>
        <v xml:space="preserve"> - </v>
      </c>
      <c r="AA10" s="372">
        <f>IF(ISNUMBER(Datos!L10),Datos!L10,"-")</f>
        <v>88</v>
      </c>
      <c r="AB10" s="374">
        <f>IF(ISNUMBER(Datos!R10),Datos!R10," - ")</f>
        <v>61</v>
      </c>
      <c r="AC10" s="374">
        <f t="shared" ref="AC10:AC13" si="1">IF(ISNUMBER(AA10+AB10),AA10+AB10," - ")</f>
        <v>149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1.4444444444444444</v>
      </c>
      <c r="AM10" s="284">
        <f>IF(ISNUMBER(((NºAsuntos!I10/NºAsuntos!G10)*11)/factor_trimestre),((NºAsuntos!I10/NºAsuntos!G10)*11)/factor_trimestre," - ")</f>
        <v>20.30769230769231</v>
      </c>
      <c r="AN10" s="267">
        <f>IF(ISNUMBER('Resol  Asuntos'!D10/NºAsuntos!G10),'Resol  Asuntos'!D10/NºAsuntos!G10," - ")</f>
        <v>0.30769230769230771</v>
      </c>
      <c r="AO10" s="268">
        <f>IF(ISNUMBER((NºAsuntos!C10+NºAsuntos!E10)/NºAsuntos!G10),(NºAsuntos!C10+NºAsuntos!E10)/NºAsuntos!G10," - ")</f>
        <v>7.7692307692307692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179</v>
      </c>
      <c r="AJ12" s="243" t="str">
        <f>IF(ISNUMBER(Datos!BW12),Datos!BW12," - ")</f>
        <v xml:space="preserve"> - </v>
      </c>
      <c r="AK12" s="242" t="str">
        <f>IF(ISNUMBER(Datos!BX12),Datos!BX12," - ")</f>
        <v xml:space="preserve"> - </v>
      </c>
      <c r="AL12" s="266">
        <f>IF(ISNUMBER(NºAsuntos!G12/NºAsuntos!E12),NºAsuntos!G12/NºAsuntos!E12," - ")</f>
        <v>1.0443101711983886</v>
      </c>
      <c r="AM12" s="284">
        <f>IF(ISNUMBER(((NºAsuntos!I12/NºAsuntos!G12)*11)/factor_trimestre),((NºAsuntos!I12/NºAsuntos!G12)*11)/factor_trimestre," - ")</f>
        <v>17.302796528447445</v>
      </c>
      <c r="AN12" s="267">
        <f>IF(ISNUMBER('Resol  Asuntos'!D12/NºAsuntos!G12),'Resol  Asuntos'!D12/NºAsuntos!G12," - ")</f>
        <v>0.17261330761812921</v>
      </c>
      <c r="AO12" s="268">
        <f>IF(ISNUMBER((NºAsuntos!C12+NºAsuntos!E12)/NºAsuntos!G12),(NºAsuntos!C12+NºAsuntos!E12)/NºAsuntos!G12," - ")</f>
        <v>6.6017357762777245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92</v>
      </c>
      <c r="G14" s="1163">
        <f t="shared" si="5"/>
        <v>92</v>
      </c>
      <c r="H14" s="1162">
        <f t="shared" si="5"/>
        <v>0</v>
      </c>
      <c r="I14" s="1164">
        <f t="shared" si="5"/>
        <v>0</v>
      </c>
      <c r="J14" s="1164">
        <f t="shared" si="5"/>
        <v>0</v>
      </c>
      <c r="K14" s="1164">
        <f t="shared" si="5"/>
        <v>0</v>
      </c>
      <c r="L14" s="1164">
        <f t="shared" si="5"/>
        <v>236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110</v>
      </c>
      <c r="Y14" s="1165">
        <f t="shared" si="6"/>
        <v>123</v>
      </c>
      <c r="Z14" s="1165">
        <f t="shared" si="6"/>
        <v>0</v>
      </c>
      <c r="AA14" s="1165">
        <f t="shared" si="6"/>
        <v>88</v>
      </c>
      <c r="AB14" s="1165">
        <f t="shared" si="6"/>
        <v>6500</v>
      </c>
      <c r="AC14" s="1165">
        <f t="shared" si="6"/>
        <v>149</v>
      </c>
      <c r="AD14" s="1165">
        <f t="shared" si="6"/>
        <v>0</v>
      </c>
      <c r="AE14" s="1169">
        <f t="shared" si="6"/>
        <v>0</v>
      </c>
      <c r="AF14" s="1162">
        <f t="shared" si="6"/>
        <v>0</v>
      </c>
      <c r="AG14" s="1170">
        <f t="shared" si="6"/>
        <v>0</v>
      </c>
      <c r="AH14" s="1167">
        <f t="shared" si="6"/>
        <v>0</v>
      </c>
      <c r="AI14" s="1162">
        <f t="shared" si="6"/>
        <v>183</v>
      </c>
      <c r="AJ14" s="1164">
        <f t="shared" si="6"/>
        <v>0</v>
      </c>
      <c r="AK14" s="1167">
        <f>SUBTOTAL(9,AK9:AK13)</f>
        <v>0</v>
      </c>
      <c r="AL14" s="1171">
        <f>IF(ISNUMBER(NºAsuntos!G14/NºAsuntos!E14),NºAsuntos!G14/NºAsuntos!E14," - ")</f>
        <v>1.0479041916167664</v>
      </c>
      <c r="AM14" s="1171">
        <f>IF(ISNUMBER(((NºAsuntos!I14/NºAsuntos!G14)*11)/factor_trimestre),((NºAsuntos!I14/NºAsuntos!G14)*11)/factor_trimestre," - ")</f>
        <v>17.340000000000003</v>
      </c>
      <c r="AN14" s="1172">
        <f>IF(ISNUMBER('Resol  Asuntos'!D14/NºAsuntos!G14),'Resol  Asuntos'!D14/NºAsuntos!G14," - ")</f>
        <v>0.17428571428571429</v>
      </c>
      <c r="AO14" s="1173">
        <f>IF(ISNUMBER((NºAsuntos!C14+NºAsuntos!E14)/NºAsuntos!G14),(NºAsuntos!C14+NºAsuntos!E14)/NºAsuntos!G14," - ")</f>
        <v>6.616190476190476</v>
      </c>
      <c r="AP14" s="1174" t="str">
        <f t="shared" si="2"/>
        <v xml:space="preserve"> - </v>
      </c>
      <c r="AQ14" s="1174">
        <f>IF(ISNUMBER((H14-W14+K14)/(F14)),(H14-W14+K14)/(F14)," - ")</f>
        <v>-0.14130434782608695</v>
      </c>
      <c r="AR14" s="1175">
        <f>IF(ISNUMBER((Datos!P14-Datos!Q14)/(Datos!R14-Datos!P14+Datos!Q14)),(Datos!P14-Datos!Q14)/(Datos!R14-Datos!P14+Datos!Q14)," - ")</f>
        <v>1.9767806714778787E-2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3265</v>
      </c>
      <c r="G17" s="373">
        <f>IF(ISNUMBER(IF(D_I="SI",Datos!I17,Datos!I17+Datos!AC17)),IF(D_I="SI",Datos!I17,Datos!I17+Datos!AC17)," - ")</f>
        <v>3332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1758</v>
      </c>
      <c r="X17" s="240">
        <f>IF(ISNUMBER(Datos!Q17),Datos!Q17," - ")</f>
        <v>44</v>
      </c>
      <c r="Y17" s="374">
        <f t="shared" ref="Y17:Y22" si="9">SUM(W17:X17)</f>
        <v>1802</v>
      </c>
      <c r="Z17" s="375" t="str">
        <f>IF(ISNUMBER(Datos!CC17),Datos!CC17," - ")</f>
        <v xml:space="preserve"> - </v>
      </c>
      <c r="AA17" s="372">
        <f>IF(ISNUMBER(IF(D_I="SI",Datos!L17,Datos!L17+Datos!AF17)),IF(D_I="SI",Datos!L17,Datos!L17+Datos!AF17)," - ")</f>
        <v>3379</v>
      </c>
      <c r="AB17" s="374">
        <f>IF(ISNUMBER(Datos!R17),Datos!R17," - ")</f>
        <v>188</v>
      </c>
      <c r="AC17" s="374">
        <f t="shared" si="8"/>
        <v>3567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247</v>
      </c>
      <c r="AJ17" s="245" t="str">
        <f>IF(ISNUMBER(Datos!BW17),Datos!BW17," - ")</f>
        <v xml:space="preserve"> - </v>
      </c>
      <c r="AK17" s="246" t="str">
        <f>IF(ISNUMBER(Datos!BX17),Datos!BX17," - ")</f>
        <v xml:space="preserve"> - </v>
      </c>
      <c r="AL17" s="266">
        <f>IF(ISNUMBER(NºAsuntos!G17/NºAsuntos!E17),NºAsuntos!G17/NºAsuntos!E17," - ")</f>
        <v>0.9391025641025641</v>
      </c>
      <c r="AM17" s="284">
        <f>IF(ISNUMBER(((NºAsuntos!I17/NºAsuntos!G17)*11)/factor_trimestre),((NºAsuntos!I17/NºAsuntos!G17)*11)/factor_trimestre," - ")</f>
        <v>5.7662116040955631</v>
      </c>
      <c r="AN17" s="267">
        <f>IF(ISNUMBER('Resol  Asuntos'!D17/NºAsuntos!G17),'Resol  Asuntos'!D17/NºAsuntos!G17," - ")</f>
        <v>0.14050056882821388</v>
      </c>
      <c r="AO17" s="268">
        <f>IF(ISNUMBER((NºAsuntos!C17+NºAsuntos!E17)/NºAsuntos!G17),(NºAsuntos!C17+NºAsuntos!E17)/NºAsuntos!G17," - ")</f>
        <v>2.9601820250284416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163</v>
      </c>
      <c r="X18" s="240">
        <f>IF(ISNUMBER(Datos!Q18),Datos!Q18," - ")</f>
        <v>1</v>
      </c>
      <c r="Y18" s="374">
        <f t="shared" si="9"/>
        <v>164</v>
      </c>
      <c r="Z18" s="375" t="str">
        <f>IF(ISNUMBER(Datos!CC18),Datos!CC18," - ")</f>
        <v xml:space="preserve"> - </v>
      </c>
      <c r="AA18" s="372">
        <f>IF(ISNUMBER(Datos!L18),Datos!L18,"-")</f>
        <v>518</v>
      </c>
      <c r="AB18" s="374">
        <f>IF(ISNUMBER(Datos!R18),Datos!R18," - ")</f>
        <v>3</v>
      </c>
      <c r="AC18" s="374">
        <f t="shared" si="8"/>
        <v>521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0.90555555555555556</v>
      </c>
      <c r="AM18" s="284">
        <f>IF(ISNUMBER(((NºAsuntos!I18/NºAsuntos!G18)*11)/factor_trimestre),((NºAsuntos!I18/NºAsuntos!G18)*11)/factor_trimestre," - ")</f>
        <v>9.5337423312883427</v>
      </c>
      <c r="AN18" s="267">
        <f>IF(ISNUMBER('Resol  Asuntos'!D18/NºAsuntos!G18),'Resol  Asuntos'!D18/NºAsuntos!G18," - ")</f>
        <v>0.13496932515337423</v>
      </c>
      <c r="AO18" s="268">
        <f>IF(ISNUMBER((NºAsuntos!C18+NºAsuntos!E18)/NºAsuntos!G18),(NºAsuntos!C18+NºAsuntos!E18)/NºAsuntos!G18," - ")</f>
        <v>4.1779141104294482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3265</v>
      </c>
      <c r="G23" s="1163">
        <f>SUBTOTAL(9,G16:G22)</f>
        <v>3833</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1921</v>
      </c>
      <c r="X23" s="1164">
        <f t="shared" si="14"/>
        <v>45</v>
      </c>
      <c r="Y23" s="1165">
        <f t="shared" si="14"/>
        <v>1966</v>
      </c>
      <c r="Z23" s="1165">
        <f t="shared" si="14"/>
        <v>0</v>
      </c>
      <c r="AA23" s="1165">
        <f t="shared" si="14"/>
        <v>3897</v>
      </c>
      <c r="AB23" s="1165">
        <f t="shared" si="14"/>
        <v>191</v>
      </c>
      <c r="AC23" s="1165">
        <f t="shared" si="14"/>
        <v>4088</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0.93615984405458086</v>
      </c>
      <c r="AM23" s="1171">
        <f>IF(ISNUMBER(((NºAsuntos!I23/NºAsuntos!G23)*11)/factor_trimestre),((NºAsuntos!I23/NºAsuntos!G23)*11)/factor_trimestre," - ")</f>
        <v>6.0858927641853207</v>
      </c>
      <c r="AN23" s="1172">
        <f>IF(ISNUMBER('Resol  Asuntos'!D23/NºAsuntos!G23),'Resol  Asuntos'!D23/NºAsuntos!G23," - ")</f>
        <v>0.14003123373243104</v>
      </c>
      <c r="AO23" s="1173">
        <f>IF(ISNUMBER((NºAsuntos!C23+NºAsuntos!E23)/NºAsuntos!G23),(NºAsuntos!C23+NºAsuntos!E23)/NºAsuntos!G23," - ")</f>
        <v>3.0635085892764184</v>
      </c>
      <c r="AP23" s="1174" t="str">
        <f t="shared" si="2"/>
        <v xml:space="preserve"> - </v>
      </c>
      <c r="AQ23" s="1174">
        <f>IF(ISNUMBER((H23-W23+K23)/(F23)),(H23-W23+K23)/(F23)," - ")</f>
        <v>-0.58836140888208266</v>
      </c>
      <c r="AR23" s="1175">
        <f>IF(ISNUMBER((Datos!P23-Datos!Q23)/(Datos!R23-Datos!P23+Datos!Q23)),(Datos!P23-Datos!Q23)/(Datos!R23-Datos!P23+Datos!Q23)," - ")</f>
        <v>-4.975124378109453E-2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3357</v>
      </c>
      <c r="G31" s="1118">
        <f t="shared" si="20"/>
        <v>3925</v>
      </c>
      <c r="H31" s="1117">
        <f t="shared" si="20"/>
        <v>0</v>
      </c>
      <c r="I31" s="1119">
        <f t="shared" si="20"/>
        <v>0</v>
      </c>
      <c r="J31" s="1119">
        <f t="shared" si="20"/>
        <v>0</v>
      </c>
      <c r="K31" s="1180">
        <f t="shared" si="20"/>
        <v>0</v>
      </c>
      <c r="L31" s="1119">
        <f t="shared" si="20"/>
        <v>271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1934</v>
      </c>
      <c r="X31" s="1118">
        <f t="shared" si="21"/>
        <v>155</v>
      </c>
      <c r="Y31" s="1125">
        <f t="shared" si="21"/>
        <v>2089</v>
      </c>
      <c r="Z31" s="1125">
        <f t="shared" si="21"/>
        <v>0</v>
      </c>
      <c r="AA31" s="1125">
        <f t="shared" si="21"/>
        <v>3985</v>
      </c>
      <c r="AB31" s="1125">
        <f t="shared" si="21"/>
        <v>6691</v>
      </c>
      <c r="AC31" s="1125">
        <f t="shared" si="21"/>
        <v>4237</v>
      </c>
      <c r="AD31" s="1125">
        <f t="shared" si="21"/>
        <v>0</v>
      </c>
      <c r="AE31" s="1127">
        <f t="shared" si="21"/>
        <v>0</v>
      </c>
      <c r="AF31" s="1128">
        <f t="shared" si="21"/>
        <v>0</v>
      </c>
      <c r="AG31" s="1129">
        <f t="shared" si="21"/>
        <v>0</v>
      </c>
      <c r="AH31" s="1127">
        <f t="shared" si="21"/>
        <v>0</v>
      </c>
      <c r="AI31" s="1117">
        <f t="shared" si="21"/>
        <v>452</v>
      </c>
      <c r="AJ31" s="1117">
        <f t="shared" si="21"/>
        <v>0</v>
      </c>
      <c r="AK31" s="1127">
        <f t="shared" si="21"/>
        <v>0</v>
      </c>
      <c r="AL31" s="1183">
        <f>IF(ISNUMBER(NºAsuntos!G31/NºAsuntos!E31),NºAsuntos!G31/NºAsuntos!E31," - ")</f>
        <v>0.97282252783235101</v>
      </c>
      <c r="AM31" s="1184">
        <f>IF(ISNUMBER(((NºAsuntos!I31/NºAsuntos!G31)*11)/factor_trimestre),((NºAsuntos!I31/NºAsuntos!G31)*11)/factor_trimestre," - ")</f>
        <v>10.063278357455403</v>
      </c>
      <c r="AN31" s="1184">
        <f>IF(ISNUMBER('Resol  Asuntos'!D31/NºAsuntos!G31),'Resol  Asuntos'!D31/NºAsuntos!G31," - ")</f>
        <v>0.15213732749915854</v>
      </c>
      <c r="AO31" s="1185">
        <f>IF(ISNUMBER((NºAsuntos!C31+NºAsuntos!E31)/NºAsuntos!G31),(NºAsuntos!C31+NºAsuntos!E31)/NºAsuntos!G31," - ")</f>
        <v>4.3190844833389432</v>
      </c>
      <c r="AP31" s="1186" t="str">
        <f t="shared" si="2"/>
        <v xml:space="preserve"> - </v>
      </c>
      <c r="AQ31" s="1187">
        <f>IF(OR(ISNUMBER(FIND("01",Criterios!A8,1)),ISNUMBER(FIND("02",Criterios!A8,1)),ISNUMBER(FIND("03",Criterios!A8,1)),ISNUMBER(FIND("04",Criterios!A8,1))),(I31-W31+K31)/(F31-K31),(H31-W31+K31)/(F31-K31))</f>
        <v>-0.57610962168602919</v>
      </c>
      <c r="AR31" s="1188">
        <f>IF(ISNUMBER((Datos!P31-Datos!Q31)/(Datos!R31-Datos!P31+Datos!Q31)),(Datos!P31-Datos!Q31)/(Datos!R31-Datos!P31+Datos!Q31)," - ")</f>
        <v>1.7642585551330799E-2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1662.793553030562</v>
      </c>
      <c r="G33" s="277">
        <f>IF(ISNUMBER(STDEV(G8:G30)),STDEV(G8:G30),"-")</f>
        <v>1696.016298776131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882.26656159818606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117.86675285495664</v>
      </c>
      <c r="AJ33" s="276">
        <f t="shared" si="25"/>
        <v>0</v>
      </c>
      <c r="AK33" s="278">
        <f t="shared" si="25"/>
        <v>0</v>
      </c>
      <c r="AL33" s="273">
        <f t="shared" si="25"/>
        <v>0.20084536339626363</v>
      </c>
      <c r="AM33" s="274">
        <f t="shared" si="25"/>
        <v>6.3629905532718904</v>
      </c>
      <c r="AN33" s="274">
        <f t="shared" si="25"/>
        <v>6.566833460045432E-2</v>
      </c>
      <c r="AO33" s="275">
        <f t="shared" si="25"/>
        <v>2.0590009238438109</v>
      </c>
      <c r="AP33" s="317" t="str">
        <f t="shared" si="25"/>
        <v>-</v>
      </c>
      <c r="AQ33" s="318">
        <f t="shared" si="25"/>
        <v>0.31611707945002293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AUfqwK2MmuYMtpcY2Ng+Lxeek4MEm/uEOG4ioCvLhd7yR3NXynEajIReBsUhSWK1d/QqQb3hFWPQYA6nqJ/8A==" saltValue="xN/yt5PRuewYA0cvuSAg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AYAMONTE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-7.0707070707070704E-2</v>
      </c>
      <c r="E10" s="393">
        <f>IF(ISNUMBER((Datos!J10-Datos!T10)/Datos!T10),(Datos!J10-Datos!T10)/Datos!T10," - ")</f>
        <v>-0.4</v>
      </c>
      <c r="F10" s="393">
        <f>IF(ISNUMBER((Datos!K10-Datos!U10)/Datos!U10),(Datos!K10-Datos!U10)/Datos!U10," - ")</f>
        <v>-0.61764705882352944</v>
      </c>
      <c r="G10" s="394">
        <f>IF(ISNUMBER((Datos!L10-Datos!V10)/Datos!V10),(Datos!L10-Datos!V10)/Datos!V10," - ")</f>
        <v>0.1</v>
      </c>
      <c r="H10" s="244">
        <f>IF(ISNUMBER((Datos!M10-Datos!W10)/Datos!W10),(Datos!M10-Datos!W10)/Datos!W10," - ")</f>
        <v>-0.81818181818181823</v>
      </c>
      <c r="I10" s="395">
        <f>IF(ISNUMBER((Tasas!C10-Datos!BE10)/Datos!BE10),(Tasas!C10-Datos!BE10)/Datos!BE10," - ")</f>
        <v>1.8769230769230769</v>
      </c>
      <c r="J10" s="394">
        <f>IF(ISNUMBER((Tasas!D10-Datos!BF10)/Datos!BF10),(Tasas!D10-Datos!BF10)/Datos!BF10," - ")</f>
        <v>-0.52447552447552448</v>
      </c>
      <c r="K10" s="396">
        <f>IF(ISNUMBER((Tasas!E10-Datos!BG10)/Datos!BG10),(Tasas!E10-Datos!BG10)/Datos!BG10," - ")</f>
        <v>1.3171390013495277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0.14743589743589744</v>
      </c>
      <c r="I12" s="395">
        <f>IF(ISNUMBER((Tasas!C12-Datos!BE12)/Datos!BE12),(Tasas!C12-Datos!BE12)/Datos!BE12," - ")</f>
        <v>0.15805268681537593</v>
      </c>
      <c r="J12" s="394">
        <f>IF(ISNUMBER((Tasas!D12-Datos!BF12)/Datos!BF12),(Tasas!D12-Datos!BF12)/Datos!BF12," - ")</f>
        <v>-0.54041171445594871</v>
      </c>
      <c r="K12" s="396">
        <f>IF(ISNUMBER((Tasas!E12-Datos!BG12)/Datos!BG12),(Tasas!E12-Datos!BG12)/Datos!BG12," - ")</f>
        <v>0.10389005578089416</v>
      </c>
      <c r="M12" t="e">
        <f>IF(Monitorios="SI",Datos!CE12,0)</f>
        <v>#REF!</v>
      </c>
      <c r="N12" t="e">
        <f>IF(Monitorios="SI",Datos!CF12,0)</f>
        <v>#REF!</v>
      </c>
      <c r="O12" t="e">
        <f>IF(Monitorios="SI",Datos!CG12,0)</f>
        <v>#REF!</v>
      </c>
      <c r="P12" t="e">
        <f>IF(Monitorios="SI",Datos!CH12,0)</f>
        <v>#REF!</v>
      </c>
      <c r="Q12">
        <f>IF(J_V="SI",0,Datos!AG12)</f>
        <v>132</v>
      </c>
      <c r="R12">
        <f>IF(J_V="SI",0,Datos!AH12)</f>
        <v>72</v>
      </c>
      <c r="S12">
        <f>IF(J_V="SI",0,Datos!AI12)</f>
        <v>40</v>
      </c>
      <c r="T12">
        <f>IF(J_V="SI",0,Datos!AJ12)</f>
        <v>164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2.8089887640449437E-2</v>
      </c>
      <c r="I14" s="402">
        <f>IF(ISNUMBER((Tasas!C14-Datos!BE14)/Datos!BE14),(Tasas!C14-Datos!BE14)/Datos!BE14," - ")</f>
        <v>0.17965707964601774</v>
      </c>
      <c r="J14" s="400">
        <f>IF(ISNUMBER((Tasas!D14-Datos!BF14)/Datos!BF14),(Tasas!D14-Datos!BF14)/Datos!BF14," - ")</f>
        <v>-0.54603697478991597</v>
      </c>
      <c r="K14" s="403">
        <f>IF(ISNUMBER((Tasas!E14-Datos!BG14)/Datos!BG14),(Tasas!E14-Datos!BG14)/Datos!BG14," - ")</f>
        <v>0.12143972701620837</v>
      </c>
      <c r="M14" t="e">
        <f>IF(Monitorios="SI",Datos!CE14,0)</f>
        <v>#REF!</v>
      </c>
      <c r="N14" t="e">
        <f>IF(Monitorios="SI",Datos!CF14,0)</f>
        <v>#REF!</v>
      </c>
      <c r="O14" t="e">
        <f>IF(Monitorios="SI",Datos!CG14,0)</f>
        <v>#REF!</v>
      </c>
      <c r="P14" t="e">
        <f>IF(Monitorios="SI",Datos!CH14,0)</f>
        <v>#REF!</v>
      </c>
      <c r="Q14">
        <f>IF(J_V="SI",0,Datos!AG14)</f>
        <v>132</v>
      </c>
      <c r="R14">
        <f>IF(J_V="SI",0,Datos!AH14)</f>
        <v>72</v>
      </c>
      <c r="S14">
        <f>IF(J_V="SI",0,Datos!AI14)</f>
        <v>40</v>
      </c>
      <c r="T14">
        <f>IF(J_V="SI",0,Datos!AJ14)</f>
        <v>164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0.32907857997606699</v>
      </c>
      <c r="E17" s="393">
        <f>IF(ISNUMBER(
   IF(D_I="SI",(Datos!J17-Datos!T17)/Datos!T17,(Datos!J17+Datos!AD17-(Datos!T17+Datos!AL17))/(Datos!T17+Datos!AL17))
     ),IF(D_I="SI",(Datos!J17-Datos!T17)/Datos!T17,(Datos!J17+Datos!AD17-(Datos!T17+Datos!AL17))/(Datos!T17+Datos!AL17))," - ")</f>
        <v>0.25721961047683006</v>
      </c>
      <c r="F17" s="393">
        <f>IF(ISNUMBER(
   IF(D_I="SI",(Datos!K17-Datos!U17)/Datos!U17,(Datos!K17+Datos!AE17-(Datos!U17+Datos!AM17))/(Datos!U17+Datos!AM17))
     ),IF(D_I="SI",(Datos!K17-Datos!U17)/Datos!U17,(Datos!K17+Datos!AE17-(Datos!U17+Datos!AM17))/(Datos!U17+Datos!AM17))," - ")</f>
        <v>5.3956834532374098E-2</v>
      </c>
      <c r="G17" s="394">
        <f>IF(ISNUMBER(
   IF(D_I="SI",(Datos!L17-Datos!V17)/Datos!V17,(Datos!L17+Datos!AF17-(Datos!V17+Datos!AN17))/(Datos!V17+Datos!AN17))
     ),IF(D_I="SI",(Datos!L17-Datos!V17)/Datos!V17,(Datos!L17+Datos!AF17-(Datos!V17+Datos!AN17))/(Datos!V17+Datos!AN17))," - ")</f>
        <v>0.33293885601577911</v>
      </c>
      <c r="H17" s="244">
        <f>IF(ISNUMBER((Datos!M17-Datos!W17)/Datos!W17),(Datos!M17-Datos!W17)/Datos!W17," - ")</f>
        <v>-9.8540145985401464E-2</v>
      </c>
      <c r="I17" s="395">
        <f>IF(ISNUMBER((Tasas!C17-Datos!BE17)/Datos!BE17),(Tasas!C17-Datos!BE17)/Datos!BE17," - ")</f>
        <v>0.26469966543476636</v>
      </c>
      <c r="J17" s="394">
        <f>IF(ISNUMBER((Tasas!D17-Datos!BF17)/Datos!BF17),(Tasas!D17-Datos!BF17)/Datos!BF17," - ")</f>
        <v>-0.14468996786328198</v>
      </c>
      <c r="K17" s="396">
        <f>IF(ISNUMBER((Tasas!E17-Datos!BG17)/Datos!BG17),(Tasas!E17-Datos!BG17)/Datos!BG17," - ")</f>
        <v>0.2356315359728329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0.19002375296912113</v>
      </c>
      <c r="E18" s="393">
        <f>IF(ISNUMBER(
   IF(D_I="SI",(Datos!J18-Datos!T18)/Datos!T18,(Datos!J18+Datos!AD18-(Datos!T18+Datos!AL18))/(Datos!T18+Datos!AL18))
     ),IF(D_I="SI",(Datos!J18-Datos!T18)/Datos!T18,(Datos!J18+Datos!AD18-(Datos!T18+Datos!AL18))/(Datos!T18+Datos!AL18))," - ")</f>
        <v>-1.6393442622950821E-2</v>
      </c>
      <c r="F18" s="393">
        <f>IF(ISNUMBER(
   IF(D_I="SI",(Datos!K18-Datos!U18)/Datos!U18,(Datos!K18+Datos!AE18-(Datos!U18+Datos!AM18))/(Datos!U18+Datos!AM18))
     ),IF(D_I="SI",(Datos!K18-Datos!U18)/Datos!U18,(Datos!K18+Datos!AE18-(Datos!U18+Datos!AM18))/(Datos!U18+Datos!AM18))," - ")</f>
        <v>-0.15979381443298968</v>
      </c>
      <c r="G18" s="394">
        <f>IF(ISNUMBER(
   IF(D_I="SI",(Datos!L18-Datos!V18)/Datos!V18,(Datos!L18+Datos!AF18-(Datos!V18+Datos!AN18))/(Datos!V18+Datos!AN18))
     ),IF(D_I="SI",(Datos!L18-Datos!V18)/Datos!V18,(Datos!L18+Datos!AF18-(Datos!V18+Datos!AN18))/(Datos!V18+Datos!AN18))," - ")</f>
        <v>0.25728155339805825</v>
      </c>
      <c r="H18" s="244">
        <f>IF(ISNUMBER((Datos!M18-Datos!W18)/Datos!W18),(Datos!M18-Datos!W18)/Datos!W18," - ")</f>
        <v>-0.21428571428571427</v>
      </c>
      <c r="I18" s="395">
        <f>IF(ISNUMBER((Tasas!C18-Datos!BE18)/Datos!BE18),(Tasas!C18-Datos!BE18)/Datos!BE18," - ")</f>
        <v>0.49639645005658461</v>
      </c>
      <c r="J18" s="394">
        <f>IF(ISNUMBER((Tasas!D18-Datos!BF18)/Datos!BF18),(Tasas!D18-Datos!BF18)/Datos!BF18," - ")</f>
        <v>-6.4855390008764169E-2</v>
      </c>
      <c r="K18" s="396">
        <f>IF(ISNUMBER((Tasas!E18-Datos!BG18)/Datos!BG18),(Tasas!E18-Datos!BG18)/Datos!BG18," - ")</f>
        <v>0.34191281030349824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0.30908469945355194</v>
      </c>
      <c r="E23" s="399">
        <f>IF(ISNUMBER(
   IF(D_I="SI",(Datos!J23-Datos!T23)/Datos!T23,(Datos!J23+Datos!AD23-(Datos!T23+Datos!AL23))/(Datos!T23+Datos!AL23))
     ),IF(D_I="SI",(Datos!J23-Datos!T23)/Datos!T23,(Datos!J23+Datos!AD23-(Datos!T23+Datos!AL23))/(Datos!T23+Datos!AL23))," - ")</f>
        <v>0.22727272727272727</v>
      </c>
      <c r="F23" s="399">
        <f>IF(ISNUMBER(
   IF(D_I="SI",(Datos!K23-Datos!U23)/Datos!U23,(Datos!K23+Datos!AE23-(Datos!U23+Datos!AM23))/(Datos!U23+Datos!AM23))
     ),IF(D_I="SI",(Datos!K23-Datos!U23)/Datos!U23,(Datos!K23+Datos!AE23-(Datos!U23+Datos!AM23))/(Datos!U23+Datos!AM23))," - ")</f>
        <v>3.1686358754027928E-2</v>
      </c>
      <c r="G23" s="400">
        <f>IF(ISNUMBER(
   IF(D_I="SI",(Datos!L23-Datos!V23)/Datos!V23,(Datos!L23+Datos!AF23-(Datos!V23+Datos!AN23))/(Datos!V23+Datos!AN23))
     ),IF(D_I="SI",(Datos!L23-Datos!V23)/Datos!V23,(Datos!L23+Datos!AF23-(Datos!V23+Datos!AN23))/(Datos!V23+Datos!AN23))," - ")</f>
        <v>0.32236172378690192</v>
      </c>
      <c r="H23" s="401">
        <f>IF(ISNUMBER((Datos!M23-Datos!W23)/Datos!W23),(Datos!M23-Datos!W23)/Datos!W23," - ")</f>
        <v>-0.10927152317880795</v>
      </c>
      <c r="I23" s="402">
        <f>IF(ISNUMBER((Tasas!C23-Datos!BE23)/Datos!BE23),(Tasas!C23-Datos!BE23)/Datos!BE23," - ")</f>
        <v>0.28174780306674196</v>
      </c>
      <c r="J23" s="400">
        <f>IF(ISNUMBER((Tasas!D23-Datos!BF23)/Datos!BF23),(Tasas!D23-Datos!BF23)/Datos!BF23," - ")</f>
        <v>-0.13662861851064043</v>
      </c>
      <c r="K23" s="403">
        <f>IF(ISNUMBER((Tasas!E23-Datos!BG23)/Datos!BG23),(Tasas!E23-Datos!BG23)/Datos!BG23," - ")</f>
        <v>0.24005499852884582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0.16877838871623238</v>
      </c>
      <c r="E31" s="409">
        <f>IF(ISNUMBER(
   IF(J_V="SI",(Datos!J31-Datos!T31)/Datos!T31,(Datos!J31+Datos!Z31-(Datos!T31+Datos!AH31))/(Datos!T31+Datos!AH31))
     ),IF(J_V="SI",(Datos!J31-Datos!T31)/Datos!T31,(Datos!J31+Datos!Z31-(Datos!T31+Datos!AH31))/(Datos!T31+Datos!AH31))," - ")</f>
        <v>0.10452079566003616</v>
      </c>
      <c r="F31" s="409">
        <f>IF(ISNUMBER(
   IF(J_V="SI",(Datos!K31-Datos!U31)/Datos!U31,(Datos!K31+Datos!AA31-(Datos!U31+Datos!AI31))/(Datos!U31+Datos!AI31))
     ),IF(J_V="SI",(Datos!K31-Datos!U31)/Datos!U31,(Datos!K31+Datos!AA31-(Datos!U31+Datos!AI31))/(Datos!U31+Datos!AI31))," - ")</f>
        <v>6.7362748400134724E-4</v>
      </c>
      <c r="G31" s="410">
        <f>IF(ISNUMBER(
   IF(J_V="SI",(Datos!L31-Datos!V31)/Datos!V31,(Datos!L31+Datos!AB31-(Datos!V31+Datos!AJ31))/(Datos!V31+Datos!AJ31))
     ),IF(J_V="SI",(Datos!L31-Datos!V31)/Datos!V31,(Datos!L31+Datos!AB31-(Datos!V31+Datos!AJ31))/(Datos!V31+Datos!AJ31))," - ")</f>
        <v>0.19053876478318002</v>
      </c>
      <c r="H31" s="411">
        <f>IF(ISNUMBER((Datos!M31-Datos!W31)/Datos!W31),(Datos!M31-Datos!W31)/Datos!W31," - ")</f>
        <v>-5.8333333333333334E-2</v>
      </c>
      <c r="I31" s="408">
        <f>IF(ISNUMBER((Tasas!C31-Datos!BE31)/Datos!BE31),(Tasas!C31-Datos!BE31)/Datos!BE31," - ")</f>
        <v>0.1897373250223027</v>
      </c>
      <c r="J31" s="409">
        <f>IF(ISNUMBER((Tasas!D31-Datos!BF31)/Datos!BF31),(Tasas!D31-Datos!BF31)/Datos!BF31," - ")</f>
        <v>-0.37868538466987384</v>
      </c>
      <c r="K31" s="410">
        <f>IF(ISNUMBER((Tasas!E31-Datos!BG31)/Datos!BG31),(Tasas!E31-Datos!BG31)/Datos!BG31," - ")</f>
        <v>0.15204041245470507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0.18392988399994376</v>
      </c>
      <c r="E33" s="303">
        <f t="shared" si="1"/>
        <v>0.3038224265682733</v>
      </c>
      <c r="F33" s="303">
        <f t="shared" si="1"/>
        <v>0.31160408118060917</v>
      </c>
      <c r="G33" s="304">
        <f t="shared" si="1"/>
        <v>0.10743760422920919</v>
      </c>
      <c r="H33" s="310">
        <f t="shared" si="1"/>
        <v>0.33780665882371325</v>
      </c>
      <c r="I33" s="302">
        <f t="shared" si="1"/>
        <v>0.66444396584009635</v>
      </c>
      <c r="J33" s="303">
        <f t="shared" si="1"/>
        <v>0.23268534186362866</v>
      </c>
      <c r="K33" s="304">
        <f t="shared" si="1"/>
        <v>0.46089665448156925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kMNjQYlJAgSggLVqY8GhMepgjR89s9Pk44T0ZSv46afKJFSDpigue83T8l/mZfCAVHdtkG8oX8uw9ShSpTIqA==" saltValue="KjWNBvoZkWhyHmcWB/Kw1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